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isti\B2024\"/>
    </mc:Choice>
  </mc:AlternateContent>
  <bookViews>
    <workbookView xWindow="0" yWindow="0" windowWidth="28800" windowHeight="12435" activeTab="4"/>
  </bookViews>
  <sheets>
    <sheet name="Приложение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5" i="6" l="1"/>
  <c r="D267" i="6" s="1"/>
  <c r="C245" i="6"/>
  <c r="D211" i="6"/>
  <c r="D208" i="6" s="1"/>
  <c r="C208" i="6"/>
  <c r="D72" i="6"/>
  <c r="C72" i="6"/>
  <c r="C267" i="6" s="1"/>
  <c r="C44" i="6"/>
  <c r="C40" i="6"/>
  <c r="D16" i="6"/>
  <c r="C16" i="6"/>
  <c r="D6" i="6"/>
  <c r="C6" i="6"/>
  <c r="F120" i="2" l="1"/>
  <c r="E119" i="2"/>
  <c r="F119" i="2" s="1"/>
  <c r="E118" i="2"/>
  <c r="F117" i="2"/>
  <c r="D116" i="2"/>
  <c r="F116" i="2" s="1"/>
  <c r="C116" i="2"/>
  <c r="D115" i="2"/>
  <c r="C115" i="2"/>
  <c r="J114" i="2"/>
  <c r="I114" i="2"/>
  <c r="H114" i="2"/>
  <c r="I113" i="2"/>
  <c r="E113" i="2"/>
  <c r="E111" i="2" s="1"/>
  <c r="D113" i="2"/>
  <c r="C113" i="2"/>
  <c r="J112" i="2"/>
  <c r="J111" i="2" s="1"/>
  <c r="D112" i="2"/>
  <c r="C112" i="2"/>
  <c r="H111" i="2"/>
  <c r="E109" i="2"/>
  <c r="D109" i="2"/>
  <c r="D107" i="2" s="1"/>
  <c r="C109" i="2"/>
  <c r="C107" i="2" s="1"/>
  <c r="F108" i="2"/>
  <c r="J107" i="2"/>
  <c r="I107" i="2"/>
  <c r="H107" i="2"/>
  <c r="E106" i="2"/>
  <c r="D106" i="2"/>
  <c r="C106" i="2"/>
  <c r="D105" i="2"/>
  <c r="G105" i="2" s="1"/>
  <c r="C105" i="2"/>
  <c r="E104" i="2"/>
  <c r="D104" i="2"/>
  <c r="C104" i="2"/>
  <c r="F103" i="2"/>
  <c r="D102" i="2"/>
  <c r="F102" i="2" s="1"/>
  <c r="C102" i="2"/>
  <c r="F101" i="2"/>
  <c r="J100" i="2"/>
  <c r="I100" i="2"/>
  <c r="H100" i="2"/>
  <c r="D99" i="2"/>
  <c r="G99" i="2" s="1"/>
  <c r="C99" i="2"/>
  <c r="D98" i="2"/>
  <c r="C98" i="2"/>
  <c r="J97" i="2"/>
  <c r="I97" i="2"/>
  <c r="H97" i="2"/>
  <c r="E97" i="2"/>
  <c r="F96" i="2"/>
  <c r="E95" i="2"/>
  <c r="F94" i="2"/>
  <c r="J92" i="2"/>
  <c r="I92" i="2"/>
  <c r="H92" i="2"/>
  <c r="E91" i="2"/>
  <c r="D91" i="2"/>
  <c r="D92" i="2" s="1"/>
  <c r="C91" i="2"/>
  <c r="C92" i="2" s="1"/>
  <c r="F90" i="2"/>
  <c r="D88" i="2"/>
  <c r="F88" i="2" s="1"/>
  <c r="C88" i="2"/>
  <c r="D87" i="2"/>
  <c r="F87" i="2" s="1"/>
  <c r="C87" i="2"/>
  <c r="E86" i="2"/>
  <c r="F86" i="2" s="1"/>
  <c r="J85" i="2"/>
  <c r="D85" i="2"/>
  <c r="F85" i="2" s="1"/>
  <c r="C85" i="2"/>
  <c r="J84" i="2"/>
  <c r="I84" i="2"/>
  <c r="I83" i="2" s="1"/>
  <c r="H84" i="2"/>
  <c r="H83" i="2" s="1"/>
  <c r="E84" i="2"/>
  <c r="D84" i="2"/>
  <c r="F84" i="2" s="1"/>
  <c r="C84" i="2"/>
  <c r="C83" i="2" s="1"/>
  <c r="D82" i="2"/>
  <c r="G82" i="2" s="1"/>
  <c r="C82" i="2"/>
  <c r="J81" i="2"/>
  <c r="J80" i="2" s="1"/>
  <c r="D81" i="2"/>
  <c r="C81" i="2"/>
  <c r="I80" i="2"/>
  <c r="H80" i="2"/>
  <c r="E80" i="2"/>
  <c r="F79" i="2"/>
  <c r="J78" i="2"/>
  <c r="J76" i="2" s="1"/>
  <c r="D78" i="2"/>
  <c r="F78" i="2" s="1"/>
  <c r="C78" i="2"/>
  <c r="I77" i="2"/>
  <c r="E77" i="2"/>
  <c r="E76" i="2" s="1"/>
  <c r="D77" i="2"/>
  <c r="C77" i="2"/>
  <c r="H76" i="2"/>
  <c r="J75" i="2"/>
  <c r="E75" i="2"/>
  <c r="F75" i="2" s="1"/>
  <c r="I74" i="2"/>
  <c r="E74" i="2"/>
  <c r="D74" i="2"/>
  <c r="F74" i="2" s="1"/>
  <c r="E73" i="2"/>
  <c r="D73" i="2"/>
  <c r="F73" i="2" s="1"/>
  <c r="C73" i="2"/>
  <c r="E72" i="2"/>
  <c r="D72" i="2"/>
  <c r="C72" i="2"/>
  <c r="E71" i="2"/>
  <c r="D71" i="2"/>
  <c r="C71" i="2"/>
  <c r="J70" i="2"/>
  <c r="J69" i="2" s="1"/>
  <c r="I70" i="2"/>
  <c r="H70" i="2"/>
  <c r="H69" i="2" s="1"/>
  <c r="H68" i="2" s="1"/>
  <c r="F67" i="2"/>
  <c r="F66" i="2"/>
  <c r="E63" i="2"/>
  <c r="D63" i="2"/>
  <c r="C63" i="2"/>
  <c r="E62" i="2"/>
  <c r="G62" i="2" s="1"/>
  <c r="D62" i="2"/>
  <c r="C62" i="2"/>
  <c r="D61" i="2"/>
  <c r="F61" i="2" s="1"/>
  <c r="C61" i="2"/>
  <c r="D60" i="2"/>
  <c r="F60" i="2" s="1"/>
  <c r="C60" i="2"/>
  <c r="E59" i="2"/>
  <c r="D59" i="2"/>
  <c r="F59" i="2" s="1"/>
  <c r="C59" i="2"/>
  <c r="E58" i="2"/>
  <c r="D58" i="2"/>
  <c r="C58" i="2"/>
  <c r="J57" i="2"/>
  <c r="I57" i="2"/>
  <c r="H57" i="2"/>
  <c r="G56" i="2"/>
  <c r="F56" i="2"/>
  <c r="J55" i="2"/>
  <c r="G55" i="2"/>
  <c r="F55" i="2"/>
  <c r="C55" i="2"/>
  <c r="E54" i="2"/>
  <c r="D54" i="2"/>
  <c r="J53" i="2"/>
  <c r="I53" i="2"/>
  <c r="H53" i="2"/>
  <c r="G53" i="2"/>
  <c r="F53" i="2"/>
  <c r="J52" i="2"/>
  <c r="I52" i="2"/>
  <c r="H52" i="2"/>
  <c r="D52" i="2"/>
  <c r="G52" i="2" s="1"/>
  <c r="E51" i="2"/>
  <c r="C51" i="2"/>
  <c r="D50" i="2"/>
  <c r="G50" i="2" s="1"/>
  <c r="C50" i="2"/>
  <c r="D49" i="2"/>
  <c r="F49" i="2" s="1"/>
  <c r="C49" i="2"/>
  <c r="D48" i="2"/>
  <c r="C48" i="2"/>
  <c r="J47" i="2"/>
  <c r="I47" i="2"/>
  <c r="H47" i="2"/>
  <c r="E47" i="2"/>
  <c r="E46" i="2"/>
  <c r="E41" i="2" s="1"/>
  <c r="D46" i="2"/>
  <c r="C46" i="2"/>
  <c r="D45" i="2"/>
  <c r="F45" i="2" s="1"/>
  <c r="C45" i="2"/>
  <c r="G44" i="2"/>
  <c r="F44" i="2"/>
  <c r="C44" i="2"/>
  <c r="G43" i="2"/>
  <c r="F43" i="2"/>
  <c r="C43" i="2"/>
  <c r="J42" i="2"/>
  <c r="D42" i="2"/>
  <c r="C42" i="2"/>
  <c r="I41" i="2"/>
  <c r="H41" i="2"/>
  <c r="D40" i="2"/>
  <c r="G40" i="2" s="1"/>
  <c r="C40" i="2"/>
  <c r="D39" i="2"/>
  <c r="F39" i="2" s="1"/>
  <c r="C39" i="2"/>
  <c r="C38" i="2" s="1"/>
  <c r="J38" i="2"/>
  <c r="I38" i="2"/>
  <c r="H38" i="2"/>
  <c r="E38" i="2"/>
  <c r="E37" i="2"/>
  <c r="G37" i="2" s="1"/>
  <c r="D37" i="2"/>
  <c r="C37" i="2"/>
  <c r="E36" i="2"/>
  <c r="D36" i="2"/>
  <c r="C36" i="2"/>
  <c r="E35" i="2"/>
  <c r="D35" i="2"/>
  <c r="C35" i="2"/>
  <c r="G34" i="2"/>
  <c r="F34" i="2"/>
  <c r="C34" i="2"/>
  <c r="D33" i="2"/>
  <c r="G33" i="2" s="1"/>
  <c r="C33" i="2"/>
  <c r="D32" i="2"/>
  <c r="F32" i="2" s="1"/>
  <c r="C32" i="2"/>
  <c r="D31" i="2"/>
  <c r="G31" i="2" s="1"/>
  <c r="C31" i="2"/>
  <c r="E30" i="2"/>
  <c r="D30" i="2"/>
  <c r="C30" i="2"/>
  <c r="E29" i="2"/>
  <c r="D29" i="2"/>
  <c r="C29" i="2"/>
  <c r="J28" i="2"/>
  <c r="D28" i="2"/>
  <c r="C28" i="2"/>
  <c r="I27" i="2"/>
  <c r="H27" i="2"/>
  <c r="D26" i="2"/>
  <c r="F26" i="2" s="1"/>
  <c r="C26" i="2"/>
  <c r="D25" i="2"/>
  <c r="F25" i="2" s="1"/>
  <c r="C25" i="2"/>
  <c r="D24" i="2"/>
  <c r="C24" i="2"/>
  <c r="D23" i="2"/>
  <c r="G23" i="2" s="1"/>
  <c r="C23" i="2"/>
  <c r="D22" i="2"/>
  <c r="F22" i="2" s="1"/>
  <c r="C22" i="2"/>
  <c r="G21" i="2"/>
  <c r="F21" i="2"/>
  <c r="C21" i="2"/>
  <c r="G20" i="2"/>
  <c r="F20" i="2"/>
  <c r="C20" i="2"/>
  <c r="J19" i="2"/>
  <c r="I19" i="2"/>
  <c r="H19" i="2"/>
  <c r="E19" i="2"/>
  <c r="F18" i="2"/>
  <c r="D16" i="2"/>
  <c r="F16" i="2" s="1"/>
  <c r="C16" i="2"/>
  <c r="D15" i="2"/>
  <c r="G15" i="2" s="1"/>
  <c r="C15" i="2"/>
  <c r="D14" i="2"/>
  <c r="F14" i="2" s="1"/>
  <c r="C14" i="2"/>
  <c r="D13" i="2"/>
  <c r="G13" i="2" s="1"/>
  <c r="C13" i="2"/>
  <c r="D12" i="2"/>
  <c r="F12" i="2" s="1"/>
  <c r="C12" i="2"/>
  <c r="D11" i="2"/>
  <c r="G11" i="2" s="1"/>
  <c r="C11" i="2"/>
  <c r="J10" i="2"/>
  <c r="I10" i="2"/>
  <c r="H10" i="2"/>
  <c r="E10" i="2"/>
  <c r="J9" i="2"/>
  <c r="E9" i="2"/>
  <c r="D9" i="2"/>
  <c r="C9" i="2"/>
  <c r="D8" i="2"/>
  <c r="D7" i="2" s="1"/>
  <c r="C8" i="2"/>
  <c r="C7" i="2" s="1"/>
  <c r="J7" i="2"/>
  <c r="I7" i="2"/>
  <c r="H7" i="2"/>
  <c r="E7" i="2"/>
  <c r="J51" i="2" l="1"/>
  <c r="C97" i="2"/>
  <c r="C114" i="2"/>
  <c r="F77" i="2"/>
  <c r="D114" i="2"/>
  <c r="G114" i="2" s="1"/>
  <c r="G35" i="2"/>
  <c r="G91" i="2"/>
  <c r="G92" i="2" s="1"/>
  <c r="G116" i="2"/>
  <c r="G71" i="2"/>
  <c r="E114" i="2"/>
  <c r="E27" i="2"/>
  <c r="F63" i="2"/>
  <c r="E100" i="2"/>
  <c r="E17" i="2"/>
  <c r="C80" i="2"/>
  <c r="G113" i="2"/>
  <c r="G32" i="2"/>
  <c r="D83" i="2"/>
  <c r="F37" i="2"/>
  <c r="G58" i="2"/>
  <c r="D111" i="2"/>
  <c r="G12" i="2"/>
  <c r="J27" i="2"/>
  <c r="G39" i="2"/>
  <c r="H17" i="2"/>
  <c r="F35" i="2"/>
  <c r="J41" i="2"/>
  <c r="G72" i="2"/>
  <c r="H121" i="2"/>
  <c r="C100" i="2"/>
  <c r="G106" i="2"/>
  <c r="C111" i="2"/>
  <c r="D41" i="2"/>
  <c r="G41" i="2" s="1"/>
  <c r="C47" i="2"/>
  <c r="F58" i="2"/>
  <c r="D80" i="2"/>
  <c r="G80" i="2" s="1"/>
  <c r="F91" i="2"/>
  <c r="J121" i="2"/>
  <c r="G109" i="2"/>
  <c r="F112" i="2"/>
  <c r="F111" i="2" s="1"/>
  <c r="D47" i="2"/>
  <c r="F47" i="2" s="1"/>
  <c r="I51" i="2"/>
  <c r="I64" i="2" s="1"/>
  <c r="C70" i="2"/>
  <c r="C69" i="2" s="1"/>
  <c r="C68" i="2" s="1"/>
  <c r="C41" i="2"/>
  <c r="G54" i="2"/>
  <c r="D70" i="2"/>
  <c r="D69" i="2" s="1"/>
  <c r="D68" i="2" s="1"/>
  <c r="G73" i="2"/>
  <c r="G84" i="2"/>
  <c r="J83" i="2"/>
  <c r="D97" i="2"/>
  <c r="D100" i="2"/>
  <c r="D121" i="2" s="1"/>
  <c r="G36" i="2"/>
  <c r="H89" i="2"/>
  <c r="H93" i="2" s="1"/>
  <c r="G104" i="2"/>
  <c r="F113" i="2"/>
  <c r="C27" i="2"/>
  <c r="C57" i="2"/>
  <c r="F81" i="2"/>
  <c r="G97" i="2"/>
  <c r="F105" i="2"/>
  <c r="G111" i="2"/>
  <c r="J17" i="2"/>
  <c r="G9" i="2"/>
  <c r="F23" i="2"/>
  <c r="D27" i="2"/>
  <c r="F36" i="2"/>
  <c r="F50" i="2"/>
  <c r="H51" i="2"/>
  <c r="H64" i="2" s="1"/>
  <c r="F72" i="2"/>
  <c r="D76" i="2"/>
  <c r="G76" i="2" s="1"/>
  <c r="E83" i="2"/>
  <c r="F104" i="2"/>
  <c r="F109" i="2"/>
  <c r="F107" i="2" s="1"/>
  <c r="D57" i="2"/>
  <c r="I111" i="2"/>
  <c r="I121" i="2" s="1"/>
  <c r="C10" i="2"/>
  <c r="C17" i="2" s="1"/>
  <c r="F15" i="2"/>
  <c r="G22" i="2"/>
  <c r="F31" i="2"/>
  <c r="G49" i="2"/>
  <c r="E57" i="2"/>
  <c r="C76" i="2"/>
  <c r="G78" i="2"/>
  <c r="E92" i="2"/>
  <c r="F92" i="2" s="1"/>
  <c r="E107" i="2"/>
  <c r="G107" i="2" s="1"/>
  <c r="F76" i="2"/>
  <c r="D10" i="2"/>
  <c r="D17" i="2" s="1"/>
  <c r="F11" i="2"/>
  <c r="C19" i="2"/>
  <c r="F30" i="2"/>
  <c r="G48" i="2"/>
  <c r="F54" i="2"/>
  <c r="G63" i="2"/>
  <c r="F83" i="2"/>
  <c r="D19" i="2"/>
  <c r="G19" i="2" s="1"/>
  <c r="F62" i="2"/>
  <c r="G27" i="2"/>
  <c r="J68" i="2"/>
  <c r="F97" i="2"/>
  <c r="F9" i="2"/>
  <c r="F82" i="2"/>
  <c r="F99" i="2"/>
  <c r="F106" i="2"/>
  <c r="F115" i="2"/>
  <c r="F118" i="2"/>
  <c r="F8" i="2"/>
  <c r="F7" i="2" s="1"/>
  <c r="F29" i="2"/>
  <c r="F46" i="2"/>
  <c r="G8" i="2"/>
  <c r="G7" i="2" s="1"/>
  <c r="F13" i="2"/>
  <c r="G14" i="2"/>
  <c r="F24" i="2"/>
  <c r="G25" i="2"/>
  <c r="G28" i="2"/>
  <c r="G29" i="2"/>
  <c r="G30" i="2"/>
  <c r="D38" i="2"/>
  <c r="G38" i="2" s="1"/>
  <c r="G46" i="2"/>
  <c r="D51" i="2"/>
  <c r="I69" i="2"/>
  <c r="E70" i="2"/>
  <c r="E69" i="2" s="1"/>
  <c r="E68" i="2" s="1"/>
  <c r="I76" i="2"/>
  <c r="G115" i="2"/>
  <c r="I17" i="2"/>
  <c r="F28" i="2"/>
  <c r="F42" i="2"/>
  <c r="G24" i="2"/>
  <c r="F48" i="2"/>
  <c r="G77" i="2"/>
  <c r="F98" i="2"/>
  <c r="F33" i="2"/>
  <c r="F40" i="2"/>
  <c r="F38" i="2" s="1"/>
  <c r="F52" i="2"/>
  <c r="F71" i="2"/>
  <c r="F95" i="2"/>
  <c r="F59" i="1"/>
  <c r="F58" i="1"/>
  <c r="E57" i="1"/>
  <c r="F57" i="1" s="1"/>
  <c r="F56" i="1"/>
  <c r="J55" i="1"/>
  <c r="J54" i="1" s="1"/>
  <c r="G55" i="1"/>
  <c r="F55" i="1"/>
  <c r="I54" i="1"/>
  <c r="H54" i="1"/>
  <c r="E54" i="1"/>
  <c r="D54" i="1"/>
  <c r="C54" i="1"/>
  <c r="F53" i="1"/>
  <c r="I52" i="1"/>
  <c r="I51" i="1" s="1"/>
  <c r="J51" i="1"/>
  <c r="H51" i="1"/>
  <c r="F51" i="1"/>
  <c r="E50" i="1"/>
  <c r="E49" i="1" s="1"/>
  <c r="J49" i="1"/>
  <c r="I49" i="1"/>
  <c r="H49" i="1"/>
  <c r="D49" i="1"/>
  <c r="D60" i="1" s="1"/>
  <c r="C49" i="1"/>
  <c r="C60" i="1" s="1"/>
  <c r="F48" i="1"/>
  <c r="J46" i="1"/>
  <c r="I46" i="1"/>
  <c r="H46" i="1"/>
  <c r="E46" i="1"/>
  <c r="D46" i="1"/>
  <c r="C46" i="1"/>
  <c r="F45" i="1"/>
  <c r="J44" i="1"/>
  <c r="I44" i="1"/>
  <c r="H44" i="1"/>
  <c r="E44" i="1"/>
  <c r="D44" i="1"/>
  <c r="C44" i="1"/>
  <c r="I42" i="1"/>
  <c r="F42" i="1"/>
  <c r="J41" i="1"/>
  <c r="H41" i="1"/>
  <c r="F41" i="1"/>
  <c r="F40" i="1"/>
  <c r="F39" i="1"/>
  <c r="J38" i="1"/>
  <c r="I38" i="1"/>
  <c r="H38" i="1"/>
  <c r="G38" i="1"/>
  <c r="E38" i="1"/>
  <c r="D38" i="1"/>
  <c r="C38" i="1"/>
  <c r="F37" i="1"/>
  <c r="I36" i="1"/>
  <c r="E36" i="1"/>
  <c r="D36" i="1"/>
  <c r="I35" i="1"/>
  <c r="E35" i="1"/>
  <c r="D35" i="1"/>
  <c r="I34" i="1"/>
  <c r="E34" i="1"/>
  <c r="D34" i="1"/>
  <c r="J33" i="1"/>
  <c r="H33" i="1"/>
  <c r="C33" i="1"/>
  <c r="I32" i="1"/>
  <c r="E32" i="1"/>
  <c r="D32" i="1"/>
  <c r="I31" i="1"/>
  <c r="E31" i="1"/>
  <c r="D31" i="1"/>
  <c r="F31" i="1" s="1"/>
  <c r="I30" i="1"/>
  <c r="E30" i="1"/>
  <c r="D30" i="1"/>
  <c r="F29" i="1"/>
  <c r="I28" i="1"/>
  <c r="E28" i="1"/>
  <c r="E27" i="1" s="1"/>
  <c r="D28" i="1"/>
  <c r="D27" i="1" s="1"/>
  <c r="J27" i="1"/>
  <c r="J26" i="1" s="1"/>
  <c r="I27" i="1"/>
  <c r="H27" i="1"/>
  <c r="H26" i="1" s="1"/>
  <c r="H43" i="1" s="1"/>
  <c r="H47" i="1" s="1"/>
  <c r="C27" i="1"/>
  <c r="C26" i="1" s="1"/>
  <c r="J21" i="1"/>
  <c r="I21" i="1"/>
  <c r="H21" i="1"/>
  <c r="F21" i="1"/>
  <c r="J19" i="1"/>
  <c r="I19" i="1"/>
  <c r="H19" i="1"/>
  <c r="E19" i="1"/>
  <c r="F19" i="1" s="1"/>
  <c r="F18" i="1"/>
  <c r="I17" i="1"/>
  <c r="J14" i="1"/>
  <c r="H14" i="1"/>
  <c r="E14" i="1"/>
  <c r="F14" i="1" s="1"/>
  <c r="J12" i="1"/>
  <c r="I12" i="1"/>
  <c r="I11" i="1"/>
  <c r="F11" i="1"/>
  <c r="F10" i="1" s="1"/>
  <c r="J10" i="1"/>
  <c r="H10" i="1"/>
  <c r="E10" i="1"/>
  <c r="D10" i="1"/>
  <c r="C10" i="1"/>
  <c r="I8" i="1"/>
  <c r="I7" i="1" s="1"/>
  <c r="F8" i="1"/>
  <c r="F7" i="1" s="1"/>
  <c r="J7" i="1"/>
  <c r="H7" i="1"/>
  <c r="E7" i="1"/>
  <c r="D7" i="1"/>
  <c r="C7" i="1"/>
  <c r="G10" i="2" l="1"/>
  <c r="F57" i="2"/>
  <c r="G17" i="2"/>
  <c r="G100" i="2"/>
  <c r="C121" i="2"/>
  <c r="D89" i="2"/>
  <c r="D93" i="2" s="1"/>
  <c r="H65" i="2"/>
  <c r="H122" i="2" s="1"/>
  <c r="I65" i="2"/>
  <c r="I122" i="2" s="1"/>
  <c r="F70" i="2"/>
  <c r="F69" i="2" s="1"/>
  <c r="F68" i="2" s="1"/>
  <c r="C64" i="2"/>
  <c r="C65" i="2" s="1"/>
  <c r="G57" i="2"/>
  <c r="G47" i="2"/>
  <c r="J64" i="2"/>
  <c r="F10" i="2"/>
  <c r="F17" i="2" s="1"/>
  <c r="E64" i="2"/>
  <c r="E65" i="2" s="1"/>
  <c r="F19" i="2"/>
  <c r="F80" i="2"/>
  <c r="C89" i="2"/>
  <c r="C93" i="2" s="1"/>
  <c r="F100" i="2"/>
  <c r="E121" i="2"/>
  <c r="G121" i="2" s="1"/>
  <c r="G68" i="2"/>
  <c r="E89" i="2"/>
  <c r="I68" i="2"/>
  <c r="I89" i="2" s="1"/>
  <c r="I93" i="2" s="1"/>
  <c r="D64" i="2"/>
  <c r="D65" i="2" s="1"/>
  <c r="D122" i="2" s="1"/>
  <c r="F41" i="2"/>
  <c r="F114" i="2"/>
  <c r="F27" i="2"/>
  <c r="G51" i="2"/>
  <c r="F51" i="2"/>
  <c r="J89" i="2"/>
  <c r="J43" i="1"/>
  <c r="J47" i="1" s="1"/>
  <c r="D23" i="1"/>
  <c r="I60" i="1"/>
  <c r="F32" i="1"/>
  <c r="I33" i="1"/>
  <c r="C43" i="1"/>
  <c r="F30" i="1"/>
  <c r="F26" i="1" s="1"/>
  <c r="G35" i="1"/>
  <c r="F35" i="1"/>
  <c r="F38" i="1"/>
  <c r="H23" i="1"/>
  <c r="H61" i="1" s="1"/>
  <c r="G50" i="1"/>
  <c r="J23" i="1"/>
  <c r="F34" i="1"/>
  <c r="G36" i="1"/>
  <c r="E33" i="1"/>
  <c r="F46" i="1"/>
  <c r="F54" i="1"/>
  <c r="F28" i="1"/>
  <c r="F27" i="1" s="1"/>
  <c r="G30" i="1"/>
  <c r="F44" i="1"/>
  <c r="C47" i="1"/>
  <c r="G28" i="1"/>
  <c r="C23" i="1"/>
  <c r="C61" i="1" s="1"/>
  <c r="I10" i="1"/>
  <c r="G32" i="1"/>
  <c r="E23" i="1"/>
  <c r="J60" i="1"/>
  <c r="J61" i="1" s="1"/>
  <c r="H60" i="1"/>
  <c r="D33" i="1"/>
  <c r="G31" i="1"/>
  <c r="I14" i="1"/>
  <c r="D26" i="1"/>
  <c r="G34" i="1"/>
  <c r="F50" i="1"/>
  <c r="F49" i="1" s="1"/>
  <c r="F60" i="1" s="1"/>
  <c r="E26" i="1"/>
  <c r="G27" i="1"/>
  <c r="G49" i="1"/>
  <c r="E60" i="1"/>
  <c r="J62" i="1"/>
  <c r="F23" i="1"/>
  <c r="I26" i="1"/>
  <c r="I23" i="1"/>
  <c r="F36" i="1"/>
  <c r="F33" i="1" s="1"/>
  <c r="I41" i="1"/>
  <c r="EB67" i="5"/>
  <c r="EA67" i="5"/>
  <c r="ED67" i="5" s="1"/>
  <c r="DZ67" i="5"/>
  <c r="EC67" i="5" s="1"/>
  <c r="DL67" i="5"/>
  <c r="DU67" i="5" s="1"/>
  <c r="DK67" i="5"/>
  <c r="DT67" i="5" s="1"/>
  <c r="DJ67" i="5"/>
  <c r="DS67" i="5" s="1"/>
  <c r="CT67" i="5"/>
  <c r="CS67" i="5"/>
  <c r="CR67" i="5"/>
  <c r="BY67" i="5"/>
  <c r="BX67" i="5"/>
  <c r="BW67" i="5"/>
  <c r="AO67" i="5"/>
  <c r="AN67" i="5"/>
  <c r="AM67" i="5"/>
  <c r="AC67" i="5"/>
  <c r="AB67" i="5"/>
  <c r="AA67" i="5"/>
  <c r="T67" i="5"/>
  <c r="S67" i="5"/>
  <c r="R67" i="5"/>
  <c r="K67" i="5"/>
  <c r="J67" i="5"/>
  <c r="I67" i="5"/>
  <c r="ED66" i="5"/>
  <c r="EC66" i="5"/>
  <c r="EB66" i="5"/>
  <c r="DL66" i="5"/>
  <c r="DU66" i="5" s="1"/>
  <c r="DK66" i="5"/>
  <c r="DT66" i="5" s="1"/>
  <c r="DJ66" i="5"/>
  <c r="DS66" i="5" s="1"/>
  <c r="CT66" i="5"/>
  <c r="CS66" i="5"/>
  <c r="CR66" i="5"/>
  <c r="BY66" i="5"/>
  <c r="BX66" i="5"/>
  <c r="BW66" i="5"/>
  <c r="AO66" i="5"/>
  <c r="AN66" i="5"/>
  <c r="AM66" i="5"/>
  <c r="AC66" i="5"/>
  <c r="AB66" i="5"/>
  <c r="AA66" i="5"/>
  <c r="T66" i="5"/>
  <c r="S66" i="5"/>
  <c r="R66" i="5"/>
  <c r="K66" i="5"/>
  <c r="J66" i="5"/>
  <c r="I66" i="5"/>
  <c r="ED65" i="5"/>
  <c r="EC65" i="5"/>
  <c r="EB65" i="5"/>
  <c r="DL65" i="5"/>
  <c r="DU65" i="5" s="1"/>
  <c r="DK65" i="5"/>
  <c r="DT65" i="5" s="1"/>
  <c r="DJ65" i="5"/>
  <c r="DS65" i="5" s="1"/>
  <c r="CT65" i="5"/>
  <c r="CS65" i="5"/>
  <c r="CR65" i="5"/>
  <c r="BY65" i="5"/>
  <c r="BX65" i="5"/>
  <c r="BW65" i="5"/>
  <c r="AO65" i="5"/>
  <c r="AN65" i="5"/>
  <c r="AM65" i="5"/>
  <c r="AC65" i="5"/>
  <c r="AB65" i="5"/>
  <c r="AA65" i="5"/>
  <c r="T65" i="5"/>
  <c r="S65" i="5"/>
  <c r="R65" i="5"/>
  <c r="K65" i="5"/>
  <c r="J65" i="5"/>
  <c r="I65" i="5"/>
  <c r="ED64" i="5"/>
  <c r="EC64" i="5"/>
  <c r="EB64" i="5"/>
  <c r="DL64" i="5"/>
  <c r="DU64" i="5" s="1"/>
  <c r="DK64" i="5"/>
  <c r="DT64" i="5" s="1"/>
  <c r="DJ64" i="5"/>
  <c r="DS64" i="5" s="1"/>
  <c r="CT64" i="5"/>
  <c r="CS64" i="5"/>
  <c r="CR64" i="5"/>
  <c r="BY64" i="5"/>
  <c r="BX64" i="5"/>
  <c r="BW64" i="5"/>
  <c r="AO64" i="5"/>
  <c r="AN64" i="5"/>
  <c r="AM64" i="5"/>
  <c r="AC64" i="5"/>
  <c r="AB64" i="5"/>
  <c r="AA64" i="5"/>
  <c r="T64" i="5"/>
  <c r="S64" i="5"/>
  <c r="R64" i="5"/>
  <c r="K64" i="5"/>
  <c r="J64" i="5"/>
  <c r="I64" i="5"/>
  <c r="EA63" i="5"/>
  <c r="DZ63" i="5"/>
  <c r="DY63" i="5"/>
  <c r="DX63" i="5"/>
  <c r="DW63" i="5"/>
  <c r="DV63" i="5"/>
  <c r="DR63" i="5"/>
  <c r="DQ63" i="5"/>
  <c r="DP63" i="5"/>
  <c r="DO63" i="5"/>
  <c r="DN63" i="5"/>
  <c r="DM63" i="5"/>
  <c r="DI63" i="5"/>
  <c r="DH63" i="5"/>
  <c r="DG63" i="5"/>
  <c r="DF63" i="5"/>
  <c r="DE63" i="5"/>
  <c r="DD63" i="5"/>
  <c r="DC63" i="5"/>
  <c r="DB63" i="5"/>
  <c r="DA63" i="5"/>
  <c r="CZ63" i="5"/>
  <c r="CY63" i="5"/>
  <c r="CX63" i="5"/>
  <c r="CW63" i="5"/>
  <c r="CV63" i="5"/>
  <c r="CU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L63" i="5"/>
  <c r="AK63" i="5"/>
  <c r="AJ63" i="5"/>
  <c r="AI63" i="5"/>
  <c r="AH63" i="5"/>
  <c r="AG63" i="5"/>
  <c r="AF63" i="5"/>
  <c r="AE63" i="5"/>
  <c r="AD63" i="5"/>
  <c r="Z63" i="5"/>
  <c r="Y63" i="5"/>
  <c r="X63" i="5"/>
  <c r="W63" i="5"/>
  <c r="V63" i="5"/>
  <c r="U63" i="5"/>
  <c r="Q63" i="5"/>
  <c r="P63" i="5"/>
  <c r="O63" i="5"/>
  <c r="N63" i="5"/>
  <c r="M63" i="5"/>
  <c r="L63" i="5"/>
  <c r="H63" i="5"/>
  <c r="G63" i="5"/>
  <c r="F63" i="5"/>
  <c r="E63" i="5"/>
  <c r="D63" i="5"/>
  <c r="C63" i="5"/>
  <c r="ED62" i="5"/>
  <c r="EC62" i="5"/>
  <c r="EB62" i="5"/>
  <c r="DL62" i="5"/>
  <c r="DU62" i="5" s="1"/>
  <c r="DK62" i="5"/>
  <c r="DT62" i="5" s="1"/>
  <c r="DJ62" i="5"/>
  <c r="DS62" i="5" s="1"/>
  <c r="CT62" i="5"/>
  <c r="CS62" i="5"/>
  <c r="CR62" i="5"/>
  <c r="BY62" i="5"/>
  <c r="BX62" i="5"/>
  <c r="BW62" i="5"/>
  <c r="AO62" i="5"/>
  <c r="AN62" i="5"/>
  <c r="AM62" i="5"/>
  <c r="AC62" i="5"/>
  <c r="AB62" i="5"/>
  <c r="AA62" i="5"/>
  <c r="T62" i="5"/>
  <c r="S62" i="5"/>
  <c r="R62" i="5"/>
  <c r="K62" i="5"/>
  <c r="J62" i="5"/>
  <c r="I62" i="5"/>
  <c r="ED61" i="5"/>
  <c r="EC61" i="5"/>
  <c r="EB61" i="5"/>
  <c r="DL61" i="5"/>
  <c r="DK61" i="5"/>
  <c r="DT61" i="5" s="1"/>
  <c r="DJ61" i="5"/>
  <c r="DS61" i="5" s="1"/>
  <c r="CZ61" i="5"/>
  <c r="CZ55" i="5" s="1"/>
  <c r="CT61" i="5"/>
  <c r="CS61" i="5"/>
  <c r="CR61" i="5"/>
  <c r="BW61" i="5"/>
  <c r="BA61" i="5"/>
  <c r="BY61" i="5" s="1"/>
  <c r="AW61" i="5"/>
  <c r="AW55" i="5" s="1"/>
  <c r="AQ61" i="5"/>
  <c r="AQ55" i="5" s="1"/>
  <c r="AO61" i="5"/>
  <c r="AN61" i="5"/>
  <c r="AM61" i="5"/>
  <c r="AC61" i="5"/>
  <c r="AB61" i="5"/>
  <c r="AA61" i="5"/>
  <c r="T61" i="5"/>
  <c r="S61" i="5"/>
  <c r="R61" i="5"/>
  <c r="K61" i="5"/>
  <c r="J61" i="5"/>
  <c r="I61" i="5"/>
  <c r="ED60" i="5"/>
  <c r="EC60" i="5"/>
  <c r="EB60" i="5"/>
  <c r="DL60" i="5"/>
  <c r="DU60" i="5" s="1"/>
  <c r="DK60" i="5"/>
  <c r="DT60" i="5" s="1"/>
  <c r="DJ60" i="5"/>
  <c r="DS60" i="5" s="1"/>
  <c r="CT60" i="5"/>
  <c r="CS60" i="5"/>
  <c r="CR60" i="5"/>
  <c r="BY60" i="5"/>
  <c r="BX60" i="5"/>
  <c r="BW60" i="5"/>
  <c r="AO60" i="5"/>
  <c r="AN60" i="5"/>
  <c r="AM60" i="5"/>
  <c r="AC60" i="5"/>
  <c r="AB60" i="5"/>
  <c r="AA60" i="5"/>
  <c r="T60" i="5"/>
  <c r="S60" i="5"/>
  <c r="R60" i="5"/>
  <c r="K60" i="5"/>
  <c r="J60" i="5"/>
  <c r="I60" i="5"/>
  <c r="ED59" i="5"/>
  <c r="EC59" i="5"/>
  <c r="EB59" i="5"/>
  <c r="DL59" i="5"/>
  <c r="DU59" i="5" s="1"/>
  <c r="DK59" i="5"/>
  <c r="DT59" i="5" s="1"/>
  <c r="DJ59" i="5"/>
  <c r="DS59" i="5" s="1"/>
  <c r="CT59" i="5"/>
  <c r="CS59" i="5"/>
  <c r="CR59" i="5"/>
  <c r="BY59" i="5"/>
  <c r="BX59" i="5"/>
  <c r="BW59" i="5"/>
  <c r="AO59" i="5"/>
  <c r="AN59" i="5"/>
  <c r="AM59" i="5"/>
  <c r="AC59" i="5"/>
  <c r="AB59" i="5"/>
  <c r="AA59" i="5"/>
  <c r="T59" i="5"/>
  <c r="S59" i="5"/>
  <c r="R59" i="5"/>
  <c r="K59" i="5"/>
  <c r="J59" i="5"/>
  <c r="I59" i="5"/>
  <c r="ED58" i="5"/>
  <c r="EC58" i="5"/>
  <c r="EB58" i="5"/>
  <c r="DR58" i="5"/>
  <c r="DK58" i="5"/>
  <c r="DT58" i="5" s="1"/>
  <c r="DJ58" i="5"/>
  <c r="DS58" i="5" s="1"/>
  <c r="CT58" i="5"/>
  <c r="CS58" i="5"/>
  <c r="CR58" i="5"/>
  <c r="BX58" i="5"/>
  <c r="BW58" i="5"/>
  <c r="BA58" i="5"/>
  <c r="BY58" i="5" s="1"/>
  <c r="AO58" i="5"/>
  <c r="AN58" i="5"/>
  <c r="AM58" i="5"/>
  <c r="AC58" i="5"/>
  <c r="AA58" i="5"/>
  <c r="Y58" i="5"/>
  <c r="AB58" i="5" s="1"/>
  <c r="T58" i="5"/>
  <c r="S58" i="5"/>
  <c r="R58" i="5"/>
  <c r="K58" i="5"/>
  <c r="J58" i="5"/>
  <c r="I58" i="5"/>
  <c r="ED57" i="5"/>
  <c r="EC57" i="5"/>
  <c r="EB57" i="5"/>
  <c r="DL57" i="5"/>
  <c r="DU57" i="5" s="1"/>
  <c r="DK57" i="5"/>
  <c r="DT57" i="5" s="1"/>
  <c r="DJ57" i="5"/>
  <c r="DS57" i="5" s="1"/>
  <c r="CT57" i="5"/>
  <c r="CS57" i="5"/>
  <c r="CR57" i="5"/>
  <c r="BY57" i="5"/>
  <c r="BX57" i="5"/>
  <c r="BW57" i="5"/>
  <c r="AO57" i="5"/>
  <c r="AN57" i="5"/>
  <c r="AM57" i="5"/>
  <c r="AC57" i="5"/>
  <c r="AB57" i="5"/>
  <c r="AA57" i="5"/>
  <c r="T57" i="5"/>
  <c r="M57" i="5"/>
  <c r="S57" i="5" s="1"/>
  <c r="L57" i="5"/>
  <c r="R57" i="5" s="1"/>
  <c r="K57" i="5"/>
  <c r="J57" i="5"/>
  <c r="I57" i="5"/>
  <c r="ED56" i="5"/>
  <c r="EC56" i="5"/>
  <c r="EB56" i="5"/>
  <c r="DL56" i="5"/>
  <c r="DU56" i="5" s="1"/>
  <c r="DK56" i="5"/>
  <c r="DT56" i="5" s="1"/>
  <c r="DJ56" i="5"/>
  <c r="CT56" i="5"/>
  <c r="CS56" i="5"/>
  <c r="CR56" i="5"/>
  <c r="BY56" i="5"/>
  <c r="BX56" i="5"/>
  <c r="BW56" i="5"/>
  <c r="AO56" i="5"/>
  <c r="AN56" i="5"/>
  <c r="AM56" i="5"/>
  <c r="AC56" i="5"/>
  <c r="AB56" i="5"/>
  <c r="AA56" i="5"/>
  <c r="T56" i="5"/>
  <c r="S56" i="5"/>
  <c r="R56" i="5"/>
  <c r="K56" i="5"/>
  <c r="J56" i="5"/>
  <c r="I56" i="5"/>
  <c r="EA55" i="5"/>
  <c r="DZ55" i="5"/>
  <c r="DY55" i="5"/>
  <c r="DX55" i="5"/>
  <c r="DW55" i="5"/>
  <c r="DV55" i="5"/>
  <c r="DQ55" i="5"/>
  <c r="DP55" i="5"/>
  <c r="DO55" i="5"/>
  <c r="DN55" i="5"/>
  <c r="DM55" i="5"/>
  <c r="DI55" i="5"/>
  <c r="DH55" i="5"/>
  <c r="DG55" i="5"/>
  <c r="DF55" i="5"/>
  <c r="DE55" i="5"/>
  <c r="DD55" i="5"/>
  <c r="DC55" i="5"/>
  <c r="DB55" i="5"/>
  <c r="DA55" i="5"/>
  <c r="CY55" i="5"/>
  <c r="CX55" i="5"/>
  <c r="CW55" i="5"/>
  <c r="CV55" i="5"/>
  <c r="CU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CB55" i="5"/>
  <c r="CA55" i="5"/>
  <c r="BZ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AZ55" i="5"/>
  <c r="AY55" i="5"/>
  <c r="AX55" i="5"/>
  <c r="AV55" i="5"/>
  <c r="AU55" i="5"/>
  <c r="AT55" i="5"/>
  <c r="AS55" i="5"/>
  <c r="AR55" i="5"/>
  <c r="AP55" i="5"/>
  <c r="AL55" i="5"/>
  <c r="AK55" i="5"/>
  <c r="AJ55" i="5"/>
  <c r="AI55" i="5"/>
  <c r="AH55" i="5"/>
  <c r="AG55" i="5"/>
  <c r="AF55" i="5"/>
  <c r="AE55" i="5"/>
  <c r="AD55" i="5"/>
  <c r="Z55" i="5"/>
  <c r="X55" i="5"/>
  <c r="W55" i="5"/>
  <c r="V55" i="5"/>
  <c r="U55" i="5"/>
  <c r="Q55" i="5"/>
  <c r="P55" i="5"/>
  <c r="O55" i="5"/>
  <c r="N55" i="5"/>
  <c r="H55" i="5"/>
  <c r="G55" i="5"/>
  <c r="F55" i="5"/>
  <c r="E55" i="5"/>
  <c r="D55" i="5"/>
  <c r="C55" i="5"/>
  <c r="EC54" i="5"/>
  <c r="EB54" i="5"/>
  <c r="DL54" i="5"/>
  <c r="DU54" i="5" s="1"/>
  <c r="DK54" i="5"/>
  <c r="DT54" i="5" s="1"/>
  <c r="DJ54" i="5"/>
  <c r="DS54" i="5" s="1"/>
  <c r="CT54" i="5"/>
  <c r="CS54" i="5"/>
  <c r="CR54" i="5"/>
  <c r="BY54" i="5"/>
  <c r="BW54" i="5"/>
  <c r="BU54" i="5"/>
  <c r="AZ54" i="5"/>
  <c r="AO54" i="5"/>
  <c r="AN54" i="5"/>
  <c r="AM54" i="5"/>
  <c r="AC54" i="5"/>
  <c r="AB54" i="5"/>
  <c r="AA54" i="5"/>
  <c r="T54" i="5"/>
  <c r="S54" i="5"/>
  <c r="R54" i="5"/>
  <c r="K54" i="5"/>
  <c r="J54" i="5"/>
  <c r="I54" i="5"/>
  <c r="ED53" i="5"/>
  <c r="EC53" i="5"/>
  <c r="EB53" i="5"/>
  <c r="DL53" i="5"/>
  <c r="DU53" i="5" s="1"/>
  <c r="DK53" i="5"/>
  <c r="DT53" i="5" s="1"/>
  <c r="DJ53" i="5"/>
  <c r="DS53" i="5" s="1"/>
  <c r="CT53" i="5"/>
  <c r="CS53" i="5"/>
  <c r="CR53" i="5"/>
  <c r="BY53" i="5"/>
  <c r="BX53" i="5"/>
  <c r="BW53" i="5"/>
  <c r="AO53" i="5"/>
  <c r="AN53" i="5"/>
  <c r="AM53" i="5"/>
  <c r="AC53" i="5"/>
  <c r="AB53" i="5"/>
  <c r="AA53" i="5"/>
  <c r="T53" i="5"/>
  <c r="S53" i="5"/>
  <c r="R53" i="5"/>
  <c r="K53" i="5"/>
  <c r="J53" i="5"/>
  <c r="I53" i="5"/>
  <c r="ED52" i="5"/>
  <c r="EC52" i="5"/>
  <c r="EB52" i="5"/>
  <c r="DL52" i="5"/>
  <c r="DU52" i="5" s="1"/>
  <c r="DK52" i="5"/>
  <c r="DT52" i="5" s="1"/>
  <c r="DJ52" i="5"/>
  <c r="DS52" i="5" s="1"/>
  <c r="CS52" i="5"/>
  <c r="CB52" i="5"/>
  <c r="CT52" i="5" s="1"/>
  <c r="BZ52" i="5"/>
  <c r="CR52" i="5" s="1"/>
  <c r="BY52" i="5"/>
  <c r="BX52" i="5"/>
  <c r="BW52" i="5"/>
  <c r="AO52" i="5"/>
  <c r="AN52" i="5"/>
  <c r="AM52" i="5"/>
  <c r="AC52" i="5"/>
  <c r="AB52" i="5"/>
  <c r="AA52" i="5"/>
  <c r="T52" i="5"/>
  <c r="S52" i="5"/>
  <c r="R52" i="5"/>
  <c r="K52" i="5"/>
  <c r="J52" i="5"/>
  <c r="I52" i="5"/>
  <c r="ED51" i="5"/>
  <c r="EC51" i="5"/>
  <c r="EB51" i="5"/>
  <c r="DL51" i="5"/>
  <c r="DU51" i="5" s="1"/>
  <c r="DK51" i="5"/>
  <c r="DT51" i="5" s="1"/>
  <c r="DJ51" i="5"/>
  <c r="DS51" i="5" s="1"/>
  <c r="CT51" i="5"/>
  <c r="CS51" i="5"/>
  <c r="CR51" i="5"/>
  <c r="BY51" i="5"/>
  <c r="BX51" i="5"/>
  <c r="BW51" i="5"/>
  <c r="AO51" i="5"/>
  <c r="AN51" i="5"/>
  <c r="AM51" i="5"/>
  <c r="AC51" i="5"/>
  <c r="AB51" i="5"/>
  <c r="AA51" i="5"/>
  <c r="T51" i="5"/>
  <c r="S51" i="5"/>
  <c r="R51" i="5"/>
  <c r="K51" i="5"/>
  <c r="J51" i="5"/>
  <c r="I51" i="5"/>
  <c r="ED50" i="5"/>
  <c r="EC50" i="5"/>
  <c r="EB50" i="5"/>
  <c r="DL50" i="5"/>
  <c r="DU50" i="5" s="1"/>
  <c r="DK50" i="5"/>
  <c r="DT50" i="5" s="1"/>
  <c r="DJ50" i="5"/>
  <c r="DS50" i="5" s="1"/>
  <c r="CT50" i="5"/>
  <c r="CS50" i="5"/>
  <c r="CR50" i="5"/>
  <c r="BY50" i="5"/>
  <c r="BX50" i="5"/>
  <c r="BW50" i="5"/>
  <c r="AO50" i="5"/>
  <c r="AN50" i="5"/>
  <c r="AM50" i="5"/>
  <c r="AC50" i="5"/>
  <c r="AB50" i="5"/>
  <c r="AA50" i="5"/>
  <c r="T50" i="5"/>
  <c r="S50" i="5"/>
  <c r="R50" i="5"/>
  <c r="K50" i="5"/>
  <c r="J50" i="5"/>
  <c r="I50" i="5"/>
  <c r="EA49" i="5"/>
  <c r="DZ49" i="5"/>
  <c r="DY49" i="5"/>
  <c r="DX49" i="5"/>
  <c r="DW49" i="5"/>
  <c r="DV49" i="5"/>
  <c r="DR49" i="5"/>
  <c r="DQ49" i="5"/>
  <c r="DP49" i="5"/>
  <c r="DO49" i="5"/>
  <c r="DN49" i="5"/>
  <c r="DM49" i="5"/>
  <c r="DI49" i="5"/>
  <c r="DH49" i="5"/>
  <c r="DG49" i="5"/>
  <c r="DF49" i="5"/>
  <c r="DE49" i="5"/>
  <c r="DD49" i="5"/>
  <c r="DC49" i="5"/>
  <c r="DB49" i="5"/>
  <c r="DA49" i="5"/>
  <c r="CZ49" i="5"/>
  <c r="CY49" i="5"/>
  <c r="CX49" i="5"/>
  <c r="CW49" i="5"/>
  <c r="CV49" i="5"/>
  <c r="CU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L49" i="5"/>
  <c r="AK49" i="5"/>
  <c r="AJ49" i="5"/>
  <c r="AI49" i="5"/>
  <c r="AH49" i="5"/>
  <c r="AG49" i="5"/>
  <c r="AF49" i="5"/>
  <c r="AE49" i="5"/>
  <c r="AD49" i="5"/>
  <c r="Z49" i="5"/>
  <c r="Y49" i="5"/>
  <c r="X49" i="5"/>
  <c r="W49" i="5"/>
  <c r="V49" i="5"/>
  <c r="U49" i="5"/>
  <c r="Q49" i="5"/>
  <c r="P49" i="5"/>
  <c r="O49" i="5"/>
  <c r="N49" i="5"/>
  <c r="M49" i="5"/>
  <c r="L49" i="5"/>
  <c r="H49" i="5"/>
  <c r="G49" i="5"/>
  <c r="F49" i="5"/>
  <c r="E49" i="5"/>
  <c r="D49" i="5"/>
  <c r="C49" i="5"/>
  <c r="ED48" i="5"/>
  <c r="EC48" i="5"/>
  <c r="EB48" i="5"/>
  <c r="DL48" i="5"/>
  <c r="DU48" i="5" s="1"/>
  <c r="DK48" i="5"/>
  <c r="DT48" i="5" s="1"/>
  <c r="DJ48" i="5"/>
  <c r="DS48" i="5" s="1"/>
  <c r="CT48" i="5"/>
  <c r="CS48" i="5"/>
  <c r="CR48" i="5"/>
  <c r="BY48" i="5"/>
  <c r="BX48" i="5"/>
  <c r="BW48" i="5"/>
  <c r="AO48" i="5"/>
  <c r="AN48" i="5"/>
  <c r="AM48" i="5"/>
  <c r="AC48" i="5"/>
  <c r="AB48" i="5"/>
  <c r="AA48" i="5"/>
  <c r="T48" i="5"/>
  <c r="S48" i="5"/>
  <c r="R48" i="5"/>
  <c r="K48" i="5"/>
  <c r="J48" i="5"/>
  <c r="I48" i="5"/>
  <c r="ED47" i="5"/>
  <c r="EC47" i="5"/>
  <c r="EB47" i="5"/>
  <c r="DL47" i="5"/>
  <c r="DK47" i="5"/>
  <c r="DT47" i="5" s="1"/>
  <c r="DJ47" i="5"/>
  <c r="DS47" i="5" s="1"/>
  <c r="CT47" i="5"/>
  <c r="CS47" i="5"/>
  <c r="CR47" i="5"/>
  <c r="BY47" i="5"/>
  <c r="BX47" i="5"/>
  <c r="BW47" i="5"/>
  <c r="AO47" i="5"/>
  <c r="AN47" i="5"/>
  <c r="AM47" i="5"/>
  <c r="AC47" i="5"/>
  <c r="AB47" i="5"/>
  <c r="AA47" i="5"/>
  <c r="T47" i="5"/>
  <c r="S47" i="5"/>
  <c r="R47" i="5"/>
  <c r="K47" i="5"/>
  <c r="J47" i="5"/>
  <c r="I47" i="5"/>
  <c r="EA46" i="5"/>
  <c r="DZ46" i="5"/>
  <c r="DY46" i="5"/>
  <c r="DX46" i="5"/>
  <c r="DW46" i="5"/>
  <c r="DV46" i="5"/>
  <c r="DR46" i="5"/>
  <c r="DQ46" i="5"/>
  <c r="DP46" i="5"/>
  <c r="DO46" i="5"/>
  <c r="DN46" i="5"/>
  <c r="DM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L46" i="5"/>
  <c r="AK46" i="5"/>
  <c r="AJ46" i="5"/>
  <c r="AI46" i="5"/>
  <c r="AH46" i="5"/>
  <c r="AG46" i="5"/>
  <c r="AF46" i="5"/>
  <c r="AE46" i="5"/>
  <c r="AD46" i="5"/>
  <c r="Z46" i="5"/>
  <c r="Y46" i="5"/>
  <c r="X46" i="5"/>
  <c r="W46" i="5"/>
  <c r="V46" i="5"/>
  <c r="U46" i="5"/>
  <c r="Q46" i="5"/>
  <c r="P46" i="5"/>
  <c r="O46" i="5"/>
  <c r="N46" i="5"/>
  <c r="M46" i="5"/>
  <c r="L46" i="5"/>
  <c r="H46" i="5"/>
  <c r="G46" i="5"/>
  <c r="F46" i="5"/>
  <c r="E46" i="5"/>
  <c r="D46" i="5"/>
  <c r="C46" i="5"/>
  <c r="DL45" i="5"/>
  <c r="DU45" i="5" s="1"/>
  <c r="DK45" i="5"/>
  <c r="DT45" i="5" s="1"/>
  <c r="DJ45" i="5"/>
  <c r="DS45" i="5" s="1"/>
  <c r="CT45" i="5"/>
  <c r="CS45" i="5"/>
  <c r="CR45" i="5"/>
  <c r="BY45" i="5"/>
  <c r="BX45" i="5"/>
  <c r="BW45" i="5"/>
  <c r="AO45" i="5"/>
  <c r="AN45" i="5"/>
  <c r="AM45" i="5"/>
  <c r="AC45" i="5"/>
  <c r="AB45" i="5"/>
  <c r="AA45" i="5"/>
  <c r="T45" i="5"/>
  <c r="S45" i="5"/>
  <c r="R45" i="5"/>
  <c r="K45" i="5"/>
  <c r="J45" i="5"/>
  <c r="I45" i="5"/>
  <c r="EC44" i="5"/>
  <c r="DX44" i="5"/>
  <c r="DV44" i="5"/>
  <c r="EB44" i="5" s="1"/>
  <c r="DL44" i="5"/>
  <c r="DU44" i="5" s="1"/>
  <c r="DK44" i="5"/>
  <c r="DT44" i="5" s="1"/>
  <c r="DJ44" i="5"/>
  <c r="DS44" i="5" s="1"/>
  <c r="CT44" i="5"/>
  <c r="CS44" i="5"/>
  <c r="CR44" i="5"/>
  <c r="BY44" i="5"/>
  <c r="BX44" i="5"/>
  <c r="BW44" i="5"/>
  <c r="AO44" i="5"/>
  <c r="AN44" i="5"/>
  <c r="AM44" i="5"/>
  <c r="AC44" i="5"/>
  <c r="AB44" i="5"/>
  <c r="AA44" i="5"/>
  <c r="T44" i="5"/>
  <c r="S44" i="5"/>
  <c r="R44" i="5"/>
  <c r="K44" i="5"/>
  <c r="J44" i="5"/>
  <c r="I44" i="5"/>
  <c r="EC43" i="5"/>
  <c r="EB43" i="5"/>
  <c r="DX43" i="5"/>
  <c r="ED43" i="5" s="1"/>
  <c r="DL43" i="5"/>
  <c r="DU43" i="5" s="1"/>
  <c r="DK43" i="5"/>
  <c r="DT43" i="5" s="1"/>
  <c r="DJ43" i="5"/>
  <c r="CT43" i="5"/>
  <c r="CS43" i="5"/>
  <c r="CR43" i="5"/>
  <c r="BY43" i="5"/>
  <c r="BX43" i="5"/>
  <c r="BW43" i="5"/>
  <c r="AO43" i="5"/>
  <c r="AN43" i="5"/>
  <c r="AM43" i="5"/>
  <c r="AC43" i="5"/>
  <c r="AB43" i="5"/>
  <c r="AA43" i="5"/>
  <c r="T43" i="5"/>
  <c r="S43" i="5"/>
  <c r="R43" i="5"/>
  <c r="K43" i="5"/>
  <c r="J43" i="5"/>
  <c r="I43" i="5"/>
  <c r="EA42" i="5"/>
  <c r="DZ42" i="5"/>
  <c r="DY42" i="5"/>
  <c r="DW42" i="5"/>
  <c r="DR42" i="5"/>
  <c r="DQ42" i="5"/>
  <c r="DP42" i="5"/>
  <c r="DO42" i="5"/>
  <c r="DN42" i="5"/>
  <c r="DM42" i="5"/>
  <c r="DI42" i="5"/>
  <c r="DH42" i="5"/>
  <c r="DG42" i="5"/>
  <c r="DF42" i="5"/>
  <c r="DE42" i="5"/>
  <c r="DD42" i="5"/>
  <c r="DC42" i="5"/>
  <c r="DB42" i="5"/>
  <c r="DA42" i="5"/>
  <c r="CZ42" i="5"/>
  <c r="CY42" i="5"/>
  <c r="CX42" i="5"/>
  <c r="CW42" i="5"/>
  <c r="CV42" i="5"/>
  <c r="CU42" i="5"/>
  <c r="CQ42" i="5"/>
  <c r="CP42" i="5"/>
  <c r="CO42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CB42" i="5"/>
  <c r="CA42" i="5"/>
  <c r="BZ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L42" i="5"/>
  <c r="AK42" i="5"/>
  <c r="AJ42" i="5"/>
  <c r="AI42" i="5"/>
  <c r="AH42" i="5"/>
  <c r="AG42" i="5"/>
  <c r="AF42" i="5"/>
  <c r="AE42" i="5"/>
  <c r="AD42" i="5"/>
  <c r="Z42" i="5"/>
  <c r="Y42" i="5"/>
  <c r="X42" i="5"/>
  <c r="W42" i="5"/>
  <c r="V42" i="5"/>
  <c r="U42" i="5"/>
  <c r="Q42" i="5"/>
  <c r="P42" i="5"/>
  <c r="O42" i="5"/>
  <c r="N42" i="5"/>
  <c r="M42" i="5"/>
  <c r="L42" i="5"/>
  <c r="H42" i="5"/>
  <c r="G42" i="5"/>
  <c r="F42" i="5"/>
  <c r="E42" i="5"/>
  <c r="D42" i="5"/>
  <c r="C42" i="5"/>
  <c r="ED41" i="5"/>
  <c r="EC41" i="5"/>
  <c r="EB41" i="5"/>
  <c r="DL41" i="5"/>
  <c r="DU41" i="5" s="1"/>
  <c r="DK41" i="5"/>
  <c r="DT41" i="5" s="1"/>
  <c r="DJ41" i="5"/>
  <c r="DS41" i="5" s="1"/>
  <c r="CT41" i="5"/>
  <c r="CS41" i="5"/>
  <c r="CR41" i="5"/>
  <c r="BY41" i="5"/>
  <c r="BX41" i="5"/>
  <c r="BW41" i="5"/>
  <c r="AO41" i="5"/>
  <c r="AN41" i="5"/>
  <c r="AM41" i="5"/>
  <c r="AC41" i="5"/>
  <c r="AB41" i="5"/>
  <c r="AA41" i="5"/>
  <c r="T41" i="5"/>
  <c r="S41" i="5"/>
  <c r="R41" i="5"/>
  <c r="K41" i="5"/>
  <c r="J41" i="5"/>
  <c r="I41" i="5"/>
  <c r="ED40" i="5"/>
  <c r="EC40" i="5"/>
  <c r="EB40" i="5"/>
  <c r="DM40" i="5"/>
  <c r="DL40" i="5"/>
  <c r="DK40" i="5"/>
  <c r="CT40" i="5"/>
  <c r="CS40" i="5"/>
  <c r="CR40" i="5"/>
  <c r="BX40" i="5"/>
  <c r="BW40" i="5"/>
  <c r="BV40" i="5"/>
  <c r="BV39" i="5" s="1"/>
  <c r="AO40" i="5"/>
  <c r="AN40" i="5"/>
  <c r="AM40" i="5"/>
  <c r="AC40" i="5"/>
  <c r="AB40" i="5"/>
  <c r="AA40" i="5"/>
  <c r="T40" i="5"/>
  <c r="S40" i="5"/>
  <c r="R40" i="5"/>
  <c r="K40" i="5"/>
  <c r="I40" i="5"/>
  <c r="G40" i="5"/>
  <c r="G39" i="5" s="1"/>
  <c r="D40" i="5"/>
  <c r="D39" i="5" s="1"/>
  <c r="EA39" i="5"/>
  <c r="DZ39" i="5"/>
  <c r="DY39" i="5"/>
  <c r="DX39" i="5"/>
  <c r="DW39" i="5"/>
  <c r="DV39" i="5"/>
  <c r="DR39" i="5"/>
  <c r="DQ39" i="5"/>
  <c r="DP39" i="5"/>
  <c r="DO39" i="5"/>
  <c r="DN39" i="5"/>
  <c r="DI39" i="5"/>
  <c r="DH39" i="5"/>
  <c r="DG39" i="5"/>
  <c r="DF39" i="5"/>
  <c r="DE39" i="5"/>
  <c r="DD39" i="5"/>
  <c r="DC39" i="5"/>
  <c r="DB39" i="5"/>
  <c r="DA39" i="5"/>
  <c r="CZ39" i="5"/>
  <c r="CY39" i="5"/>
  <c r="CX39" i="5"/>
  <c r="CW39" i="5"/>
  <c r="CV39" i="5"/>
  <c r="CU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L39" i="5"/>
  <c r="AK39" i="5"/>
  <c r="AJ39" i="5"/>
  <c r="AI39" i="5"/>
  <c r="AH39" i="5"/>
  <c r="AG39" i="5"/>
  <c r="AF39" i="5"/>
  <c r="AE39" i="5"/>
  <c r="AD39" i="5"/>
  <c r="Z39" i="5"/>
  <c r="Y39" i="5"/>
  <c r="X39" i="5"/>
  <c r="W39" i="5"/>
  <c r="V39" i="5"/>
  <c r="U39" i="5"/>
  <c r="Q39" i="5"/>
  <c r="P39" i="5"/>
  <c r="O39" i="5"/>
  <c r="N39" i="5"/>
  <c r="M39" i="5"/>
  <c r="L39" i="5"/>
  <c r="H39" i="5"/>
  <c r="F39" i="5"/>
  <c r="E39" i="5"/>
  <c r="C39" i="5"/>
  <c r="ED38" i="5"/>
  <c r="EC38" i="5"/>
  <c r="EB38" i="5"/>
  <c r="DL38" i="5"/>
  <c r="DU38" i="5" s="1"/>
  <c r="DK38" i="5"/>
  <c r="DT38" i="5" s="1"/>
  <c r="DJ38" i="5"/>
  <c r="DS38" i="5" s="1"/>
  <c r="CT38" i="5"/>
  <c r="CS38" i="5"/>
  <c r="CR38" i="5"/>
  <c r="BY38" i="5"/>
  <c r="BX38" i="5"/>
  <c r="BW38" i="5"/>
  <c r="AO38" i="5"/>
  <c r="AN38" i="5"/>
  <c r="AM38" i="5"/>
  <c r="AC38" i="5"/>
  <c r="AB38" i="5"/>
  <c r="AA38" i="5"/>
  <c r="S38" i="5"/>
  <c r="R38" i="5"/>
  <c r="N38" i="5"/>
  <c r="T38" i="5" s="1"/>
  <c r="I38" i="5"/>
  <c r="G38" i="5"/>
  <c r="E38" i="5"/>
  <c r="K38" i="5" s="1"/>
  <c r="D38" i="5"/>
  <c r="ED37" i="5"/>
  <c r="EC37" i="5"/>
  <c r="EB37" i="5"/>
  <c r="DL37" i="5"/>
  <c r="DU37" i="5" s="1"/>
  <c r="DK37" i="5"/>
  <c r="DT37" i="5" s="1"/>
  <c r="DJ37" i="5"/>
  <c r="DS37" i="5" s="1"/>
  <c r="CT37" i="5"/>
  <c r="CS37" i="5"/>
  <c r="CR37" i="5"/>
  <c r="BY37" i="5"/>
  <c r="BX37" i="5"/>
  <c r="BW37" i="5"/>
  <c r="AO37" i="5"/>
  <c r="AN37" i="5"/>
  <c r="AM37" i="5"/>
  <c r="AC37" i="5"/>
  <c r="AB37" i="5"/>
  <c r="AA37" i="5"/>
  <c r="T37" i="5"/>
  <c r="S37" i="5"/>
  <c r="R37" i="5"/>
  <c r="K37" i="5"/>
  <c r="J37" i="5"/>
  <c r="I37" i="5"/>
  <c r="ED36" i="5"/>
  <c r="EC36" i="5"/>
  <c r="EB36" i="5"/>
  <c r="DL36" i="5"/>
  <c r="DU36" i="5" s="1"/>
  <c r="DK36" i="5"/>
  <c r="DT36" i="5" s="1"/>
  <c r="DJ36" i="5"/>
  <c r="DS36" i="5" s="1"/>
  <c r="CT36" i="5"/>
  <c r="CS36" i="5"/>
  <c r="CR36" i="5"/>
  <c r="BY36" i="5"/>
  <c r="BX36" i="5"/>
  <c r="BW36" i="5"/>
  <c r="AO36" i="5"/>
  <c r="AN36" i="5"/>
  <c r="AM36" i="5"/>
  <c r="AC36" i="5"/>
  <c r="AB36" i="5"/>
  <c r="AA36" i="5"/>
  <c r="T36" i="5"/>
  <c r="S36" i="5"/>
  <c r="R36" i="5"/>
  <c r="K36" i="5"/>
  <c r="J36" i="5"/>
  <c r="I36" i="5"/>
  <c r="ED35" i="5"/>
  <c r="EC35" i="5"/>
  <c r="EB35" i="5"/>
  <c r="DL35" i="5"/>
  <c r="DU35" i="5" s="1"/>
  <c r="DK35" i="5"/>
  <c r="DT35" i="5" s="1"/>
  <c r="DJ35" i="5"/>
  <c r="DS35" i="5" s="1"/>
  <c r="CT35" i="5"/>
  <c r="CS35" i="5"/>
  <c r="CR35" i="5"/>
  <c r="BY35" i="5"/>
  <c r="BX35" i="5"/>
  <c r="BW35" i="5"/>
  <c r="AO35" i="5"/>
  <c r="AN35" i="5"/>
  <c r="AM35" i="5"/>
  <c r="AC35" i="5"/>
  <c r="AB35" i="5"/>
  <c r="AA35" i="5"/>
  <c r="T35" i="5"/>
  <c r="S35" i="5"/>
  <c r="R35" i="5"/>
  <c r="K35" i="5"/>
  <c r="I35" i="5"/>
  <c r="D35" i="5"/>
  <c r="J35" i="5" s="1"/>
  <c r="ED34" i="5"/>
  <c r="EC34" i="5"/>
  <c r="EB34" i="5"/>
  <c r="DL34" i="5"/>
  <c r="DU34" i="5" s="1"/>
  <c r="DK34" i="5"/>
  <c r="DT34" i="5" s="1"/>
  <c r="DJ34" i="5"/>
  <c r="DS34" i="5" s="1"/>
  <c r="CT34" i="5"/>
  <c r="CS34" i="5"/>
  <c r="CR34" i="5"/>
  <c r="BY34" i="5"/>
  <c r="BX34" i="5"/>
  <c r="BW34" i="5"/>
  <c r="AO34" i="5"/>
  <c r="AN34" i="5"/>
  <c r="AM34" i="5"/>
  <c r="AC34" i="5"/>
  <c r="AB34" i="5"/>
  <c r="AA34" i="5"/>
  <c r="T34" i="5"/>
  <c r="S34" i="5"/>
  <c r="R34" i="5"/>
  <c r="K34" i="5"/>
  <c r="I34" i="5"/>
  <c r="D34" i="5"/>
  <c r="J34" i="5" s="1"/>
  <c r="ED33" i="5"/>
  <c r="EC33" i="5"/>
  <c r="EB33" i="5"/>
  <c r="DQ33" i="5"/>
  <c r="DK33" i="5" s="1"/>
  <c r="DT33" i="5" s="1"/>
  <c r="DL33" i="5"/>
  <c r="DU33" i="5" s="1"/>
  <c r="DJ33" i="5"/>
  <c r="DS33" i="5" s="1"/>
  <c r="CT33" i="5"/>
  <c r="CS33" i="5"/>
  <c r="CR33" i="5"/>
  <c r="BY33" i="5"/>
  <c r="BX33" i="5"/>
  <c r="BW33" i="5"/>
  <c r="AO33" i="5"/>
  <c r="AN33" i="5"/>
  <c r="AM33" i="5"/>
  <c r="AC33" i="5"/>
  <c r="AB33" i="5"/>
  <c r="AA33" i="5"/>
  <c r="T33" i="5"/>
  <c r="S33" i="5"/>
  <c r="R33" i="5"/>
  <c r="K33" i="5"/>
  <c r="J33" i="5"/>
  <c r="I33" i="5"/>
  <c r="ED32" i="5"/>
  <c r="EC32" i="5"/>
  <c r="EB32" i="5"/>
  <c r="DL32" i="5"/>
  <c r="DU32" i="5" s="1"/>
  <c r="DK32" i="5"/>
  <c r="DT32" i="5" s="1"/>
  <c r="DJ32" i="5"/>
  <c r="DS32" i="5" s="1"/>
  <c r="CT32" i="5"/>
  <c r="CS32" i="5"/>
  <c r="CR32" i="5"/>
  <c r="BY32" i="5"/>
  <c r="BX32" i="5"/>
  <c r="BW32" i="5"/>
  <c r="AO32" i="5"/>
  <c r="AN32" i="5"/>
  <c r="AM32" i="5"/>
  <c r="AC32" i="5"/>
  <c r="AB32" i="5"/>
  <c r="AA32" i="5"/>
  <c r="T32" i="5"/>
  <c r="S32" i="5"/>
  <c r="R32" i="5"/>
  <c r="K32" i="5"/>
  <c r="I32" i="5"/>
  <c r="G32" i="5"/>
  <c r="J32" i="5" s="1"/>
  <c r="ED31" i="5"/>
  <c r="EC31" i="5"/>
  <c r="EB31" i="5"/>
  <c r="DQ31" i="5"/>
  <c r="DK31" i="5" s="1"/>
  <c r="DT31" i="5" s="1"/>
  <c r="DL31" i="5"/>
  <c r="DU31" i="5" s="1"/>
  <c r="DJ31" i="5"/>
  <c r="DS31" i="5" s="1"/>
  <c r="CT31" i="5"/>
  <c r="CS31" i="5"/>
  <c r="CR31" i="5"/>
  <c r="BY31" i="5"/>
  <c r="BX31" i="5"/>
  <c r="BW31" i="5"/>
  <c r="AO31" i="5"/>
  <c r="AN31" i="5"/>
  <c r="AM31" i="5"/>
  <c r="AC31" i="5"/>
  <c r="AB31" i="5"/>
  <c r="AA31" i="5"/>
  <c r="T31" i="5"/>
  <c r="R31" i="5"/>
  <c r="P31" i="5"/>
  <c r="S31" i="5" s="1"/>
  <c r="J31" i="5"/>
  <c r="I31" i="5"/>
  <c r="E31" i="5"/>
  <c r="K31" i="5" s="1"/>
  <c r="ED30" i="5"/>
  <c r="EC30" i="5"/>
  <c r="EB30" i="5"/>
  <c r="DQ30" i="5"/>
  <c r="DK30" i="5" s="1"/>
  <c r="DO30" i="5"/>
  <c r="DL30" i="5" s="1"/>
  <c r="DU30" i="5" s="1"/>
  <c r="DM30" i="5"/>
  <c r="DJ30" i="5" s="1"/>
  <c r="DH30" i="5"/>
  <c r="CU30" i="5"/>
  <c r="CT30" i="5"/>
  <c r="CR30" i="5"/>
  <c r="CP30" i="5"/>
  <c r="CG30" i="5"/>
  <c r="BW30" i="5"/>
  <c r="BF30" i="5"/>
  <c r="BC30" i="5"/>
  <c r="AU30" i="5"/>
  <c r="BY30" i="5" s="1"/>
  <c r="AT30" i="5"/>
  <c r="AO30" i="5"/>
  <c r="AN30" i="5"/>
  <c r="AM30" i="5"/>
  <c r="AC30" i="5"/>
  <c r="AA30" i="5"/>
  <c r="Y30" i="5"/>
  <c r="AB30" i="5" s="1"/>
  <c r="T30" i="5"/>
  <c r="R30" i="5"/>
  <c r="P30" i="5"/>
  <c r="S30" i="5" s="1"/>
  <c r="K30" i="5"/>
  <c r="J30" i="5"/>
  <c r="C30" i="5"/>
  <c r="I30" i="5" s="1"/>
  <c r="ED29" i="5"/>
  <c r="EC29" i="5"/>
  <c r="EB29" i="5"/>
  <c r="DQ29" i="5"/>
  <c r="DN29" i="5"/>
  <c r="DN22" i="5" s="1"/>
  <c r="DM29" i="5"/>
  <c r="DJ29" i="5" s="1"/>
  <c r="DL29" i="5"/>
  <c r="DU29" i="5" s="1"/>
  <c r="CX29" i="5"/>
  <c r="CX22" i="5" s="1"/>
  <c r="CV29" i="5"/>
  <c r="CV22" i="5" s="1"/>
  <c r="CU29" i="5"/>
  <c r="CQ29" i="5"/>
  <c r="CQ22" i="5" s="1"/>
  <c r="CP29" i="5"/>
  <c r="CO29" i="5"/>
  <c r="CN29" i="5"/>
  <c r="CN22" i="5" s="1"/>
  <c r="CM29" i="5"/>
  <c r="CK29" i="5"/>
  <c r="CK22" i="5" s="1"/>
  <c r="CG29" i="5"/>
  <c r="CB29" i="5"/>
  <c r="CB22" i="5" s="1"/>
  <c r="CA29" i="5"/>
  <c r="BZ29" i="5"/>
  <c r="BJ29" i="5"/>
  <c r="BJ22" i="5" s="1"/>
  <c r="BF29" i="5"/>
  <c r="BE29" i="5"/>
  <c r="BE22" i="5" s="1"/>
  <c r="BC29" i="5"/>
  <c r="BB29" i="5"/>
  <c r="BA29" i="5"/>
  <c r="AZ29" i="5"/>
  <c r="AZ22" i="5" s="1"/>
  <c r="AY29" i="5"/>
  <c r="AY22" i="5" s="1"/>
  <c r="AO29" i="5"/>
  <c r="AH29" i="5"/>
  <c r="AN29" i="5" s="1"/>
  <c r="AG29" i="5"/>
  <c r="AM29" i="5" s="1"/>
  <c r="AB29" i="5"/>
  <c r="AA29" i="5"/>
  <c r="Z29" i="5"/>
  <c r="AC29" i="5" s="1"/>
  <c r="T29" i="5"/>
  <c r="R29" i="5"/>
  <c r="P29" i="5"/>
  <c r="S29" i="5" s="1"/>
  <c r="I29" i="5"/>
  <c r="G29" i="5"/>
  <c r="E29" i="5"/>
  <c r="K29" i="5" s="1"/>
  <c r="D29" i="5"/>
  <c r="ED28" i="5"/>
  <c r="EC28" i="5"/>
  <c r="EB28" i="5"/>
  <c r="DQ28" i="5"/>
  <c r="DK28" i="5" s="1"/>
  <c r="DM28" i="5"/>
  <c r="DJ28" i="5" s="1"/>
  <c r="DL28" i="5"/>
  <c r="DU28" i="5" s="1"/>
  <c r="DH28" i="5"/>
  <c r="DG28" i="5"/>
  <c r="DG22" i="5" s="1"/>
  <c r="CT28" i="5"/>
  <c r="CO28" i="5"/>
  <c r="CR28" i="5" s="1"/>
  <c r="CG28" i="5"/>
  <c r="CS28" i="5" s="1"/>
  <c r="BY28" i="5"/>
  <c r="BF28" i="5"/>
  <c r="AT28" i="5"/>
  <c r="AS28" i="5"/>
  <c r="BW28" i="5" s="1"/>
  <c r="AO28" i="5"/>
  <c r="AM28" i="5"/>
  <c r="AH28" i="5"/>
  <c r="AE28" i="5"/>
  <c r="AC28" i="5"/>
  <c r="AA28" i="5"/>
  <c r="Y28" i="5"/>
  <c r="AB28" i="5" s="1"/>
  <c r="T28" i="5"/>
  <c r="R28" i="5"/>
  <c r="P28" i="5"/>
  <c r="S28" i="5" s="1"/>
  <c r="J28" i="5"/>
  <c r="E28" i="5"/>
  <c r="K28" i="5" s="1"/>
  <c r="C28" i="5"/>
  <c r="I28" i="5" s="1"/>
  <c r="ED27" i="5"/>
  <c r="EC27" i="5"/>
  <c r="EB27" i="5"/>
  <c r="DQ27" i="5"/>
  <c r="DK27" i="5" s="1"/>
  <c r="DT27" i="5" s="1"/>
  <c r="DM27" i="5"/>
  <c r="DJ27" i="5" s="1"/>
  <c r="DS27" i="5" s="1"/>
  <c r="DL27" i="5"/>
  <c r="DU27" i="5" s="1"/>
  <c r="CT27" i="5"/>
  <c r="CR27" i="5"/>
  <c r="CP27" i="5"/>
  <c r="CM27" i="5"/>
  <c r="CG27" i="5"/>
  <c r="CA27" i="5"/>
  <c r="BD27" i="5"/>
  <c r="BY27" i="5" s="1"/>
  <c r="BC27" i="5"/>
  <c r="BX27" i="5" s="1"/>
  <c r="BB27" i="5"/>
  <c r="BW27" i="5" s="1"/>
  <c r="AO27" i="5"/>
  <c r="AM27" i="5"/>
  <c r="AH27" i="5"/>
  <c r="AE27" i="5"/>
  <c r="AC27" i="5"/>
  <c r="AB27" i="5"/>
  <c r="AA27" i="5"/>
  <c r="T27" i="5"/>
  <c r="R27" i="5"/>
  <c r="P27" i="5"/>
  <c r="S27" i="5" s="1"/>
  <c r="G27" i="5"/>
  <c r="E27" i="5"/>
  <c r="K27" i="5" s="1"/>
  <c r="D27" i="5"/>
  <c r="C27" i="5"/>
  <c r="I27" i="5" s="1"/>
  <c r="ED26" i="5"/>
  <c r="EC26" i="5"/>
  <c r="EB26" i="5"/>
  <c r="DL26" i="5"/>
  <c r="DU26" i="5" s="1"/>
  <c r="DK26" i="5"/>
  <c r="DT26" i="5" s="1"/>
  <c r="DJ26" i="5"/>
  <c r="DS26" i="5" s="1"/>
  <c r="CT26" i="5"/>
  <c r="CR26" i="5"/>
  <c r="CG26" i="5"/>
  <c r="CS26" i="5" s="1"/>
  <c r="BY26" i="5"/>
  <c r="BX26" i="5"/>
  <c r="BW26" i="5"/>
  <c r="AO26" i="5"/>
  <c r="AN26" i="5"/>
  <c r="AM26" i="5"/>
  <c r="AC26" i="5"/>
  <c r="AB26" i="5"/>
  <c r="AA26" i="5"/>
  <c r="T26" i="5"/>
  <c r="S26" i="5"/>
  <c r="R26" i="5"/>
  <c r="K26" i="5"/>
  <c r="J26" i="5"/>
  <c r="I26" i="5"/>
  <c r="ED25" i="5"/>
  <c r="EC25" i="5"/>
  <c r="EB25" i="5"/>
  <c r="DL25" i="5"/>
  <c r="DU25" i="5" s="1"/>
  <c r="DK25" i="5"/>
  <c r="DT25" i="5" s="1"/>
  <c r="DJ25" i="5"/>
  <c r="DS25" i="5" s="1"/>
  <c r="CT25" i="5"/>
  <c r="CS25" i="5"/>
  <c r="CR25" i="5"/>
  <c r="BY25" i="5"/>
  <c r="BX25" i="5"/>
  <c r="BW25" i="5"/>
  <c r="AO25" i="5"/>
  <c r="AN25" i="5"/>
  <c r="AM25" i="5"/>
  <c r="AC25" i="5"/>
  <c r="AB25" i="5"/>
  <c r="AA25" i="5"/>
  <c r="T25" i="5"/>
  <c r="R25" i="5"/>
  <c r="P25" i="5"/>
  <c r="S25" i="5" s="1"/>
  <c r="K25" i="5"/>
  <c r="J25" i="5"/>
  <c r="I25" i="5"/>
  <c r="ED24" i="5"/>
  <c r="EC24" i="5"/>
  <c r="EB24" i="5"/>
  <c r="DL24" i="5"/>
  <c r="DU24" i="5" s="1"/>
  <c r="DK24" i="5"/>
  <c r="DT24" i="5" s="1"/>
  <c r="DJ24" i="5"/>
  <c r="DS24" i="5" s="1"/>
  <c r="CT24" i="5"/>
  <c r="CS24" i="5"/>
  <c r="CR24" i="5"/>
  <c r="BY24" i="5"/>
  <c r="BX24" i="5"/>
  <c r="BW24" i="5"/>
  <c r="AO24" i="5"/>
  <c r="AN24" i="5"/>
  <c r="AM24" i="5"/>
  <c r="AC24" i="5"/>
  <c r="AB24" i="5"/>
  <c r="AA24" i="5"/>
  <c r="T24" i="5"/>
  <c r="S24" i="5"/>
  <c r="R24" i="5"/>
  <c r="K24" i="5"/>
  <c r="J24" i="5"/>
  <c r="I24" i="5"/>
  <c r="ED23" i="5"/>
  <c r="EC23" i="5"/>
  <c r="EB23" i="5"/>
  <c r="DL23" i="5"/>
  <c r="DU23" i="5" s="1"/>
  <c r="DK23" i="5"/>
  <c r="DT23" i="5" s="1"/>
  <c r="DJ23" i="5"/>
  <c r="DS23" i="5" s="1"/>
  <c r="CT23" i="5"/>
  <c r="CR23" i="5"/>
  <c r="CA23" i="5"/>
  <c r="CS23" i="5" s="1"/>
  <c r="BY23" i="5"/>
  <c r="BX23" i="5"/>
  <c r="BW23" i="5"/>
  <c r="AO23" i="5"/>
  <c r="AN23" i="5"/>
  <c r="AM23" i="5"/>
  <c r="AC23" i="5"/>
  <c r="AA23" i="5"/>
  <c r="Y23" i="5"/>
  <c r="AB23" i="5" s="1"/>
  <c r="T23" i="5"/>
  <c r="S23" i="5"/>
  <c r="R23" i="5"/>
  <c r="K23" i="5"/>
  <c r="J23" i="5"/>
  <c r="I23" i="5"/>
  <c r="EA22" i="5"/>
  <c r="DZ22" i="5"/>
  <c r="DY22" i="5"/>
  <c r="DX22" i="5"/>
  <c r="DW22" i="5"/>
  <c r="DV22" i="5"/>
  <c r="DR22" i="5"/>
  <c r="DP22" i="5"/>
  <c r="DI22" i="5"/>
  <c r="DF22" i="5"/>
  <c r="DE22" i="5"/>
  <c r="DD22" i="5"/>
  <c r="DC22" i="5"/>
  <c r="DB22" i="5"/>
  <c r="DA22" i="5"/>
  <c r="CZ22" i="5"/>
  <c r="CY22" i="5"/>
  <c r="CW22" i="5"/>
  <c r="CL22" i="5"/>
  <c r="CJ22" i="5"/>
  <c r="CI22" i="5"/>
  <c r="CH22" i="5"/>
  <c r="CF22" i="5"/>
  <c r="CE22" i="5"/>
  <c r="CD22" i="5"/>
  <c r="CC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I22" i="5"/>
  <c r="BH22" i="5"/>
  <c r="BG22" i="5"/>
  <c r="AX22" i="5"/>
  <c r="AW22" i="5"/>
  <c r="AV22" i="5"/>
  <c r="AR22" i="5"/>
  <c r="AQ22" i="5"/>
  <c r="AP22" i="5"/>
  <c r="AL22" i="5"/>
  <c r="AK22" i="5"/>
  <c r="AJ22" i="5"/>
  <c r="AI22" i="5"/>
  <c r="AF22" i="5"/>
  <c r="AD22" i="5"/>
  <c r="X22" i="5"/>
  <c r="W22" i="5"/>
  <c r="V22" i="5"/>
  <c r="U22" i="5"/>
  <c r="Q22" i="5"/>
  <c r="O22" i="5"/>
  <c r="M22" i="5"/>
  <c r="L22" i="5"/>
  <c r="H22" i="5"/>
  <c r="F22" i="5"/>
  <c r="ED21" i="5"/>
  <c r="EC21" i="5"/>
  <c r="EB21" i="5"/>
  <c r="DL21" i="5"/>
  <c r="DK21" i="5"/>
  <c r="DT21" i="5" s="1"/>
  <c r="DJ21" i="5"/>
  <c r="DS21" i="5" s="1"/>
  <c r="CT21" i="5"/>
  <c r="CR21" i="5"/>
  <c r="CP21" i="5"/>
  <c r="CM21" i="5"/>
  <c r="BY21" i="5"/>
  <c r="BX21" i="5"/>
  <c r="BW21" i="5"/>
  <c r="AO21" i="5"/>
  <c r="AM21" i="5"/>
  <c r="AE21" i="5"/>
  <c r="AN21" i="5" s="1"/>
  <c r="AC21" i="5"/>
  <c r="AB21" i="5"/>
  <c r="AA21" i="5"/>
  <c r="T21" i="5"/>
  <c r="R21" i="5"/>
  <c r="P21" i="5"/>
  <c r="S21" i="5" s="1"/>
  <c r="K21" i="5"/>
  <c r="J21" i="5"/>
  <c r="I21" i="5"/>
  <c r="ED20" i="5"/>
  <c r="EC20" i="5"/>
  <c r="EB20" i="5"/>
  <c r="DL20" i="5"/>
  <c r="DU20" i="5" s="1"/>
  <c r="DK20" i="5"/>
  <c r="DT20" i="5" s="1"/>
  <c r="DJ20" i="5"/>
  <c r="DS20" i="5" s="1"/>
  <c r="CT20" i="5"/>
  <c r="CR20" i="5"/>
  <c r="CM20" i="5"/>
  <c r="CS20" i="5" s="1"/>
  <c r="BY20" i="5"/>
  <c r="BW20" i="5"/>
  <c r="BR20" i="5"/>
  <c r="BX20" i="5" s="1"/>
  <c r="AO20" i="5"/>
  <c r="AM20" i="5"/>
  <c r="AE20" i="5"/>
  <c r="AN20" i="5" s="1"/>
  <c r="AC20" i="5"/>
  <c r="AB20" i="5"/>
  <c r="AA20" i="5"/>
  <c r="T20" i="5"/>
  <c r="R20" i="5"/>
  <c r="P20" i="5"/>
  <c r="K20" i="5"/>
  <c r="J20" i="5"/>
  <c r="I20" i="5"/>
  <c r="ED19" i="5"/>
  <c r="EC19" i="5"/>
  <c r="EB19" i="5"/>
  <c r="DL19" i="5"/>
  <c r="DU19" i="5" s="1"/>
  <c r="DK19" i="5"/>
  <c r="DT19" i="5" s="1"/>
  <c r="DJ19" i="5"/>
  <c r="DS19" i="5" s="1"/>
  <c r="CT19" i="5"/>
  <c r="CS19" i="5"/>
  <c r="CR19" i="5"/>
  <c r="BY19" i="5"/>
  <c r="BX19" i="5"/>
  <c r="BW19" i="5"/>
  <c r="AO19" i="5"/>
  <c r="AN19" i="5"/>
  <c r="AM19" i="5"/>
  <c r="AC19" i="5"/>
  <c r="AB19" i="5"/>
  <c r="AA19" i="5"/>
  <c r="T19" i="5"/>
  <c r="R19" i="5"/>
  <c r="P19" i="5"/>
  <c r="S19" i="5" s="1"/>
  <c r="K19" i="5"/>
  <c r="J19" i="5"/>
  <c r="I19" i="5"/>
  <c r="ED18" i="5"/>
  <c r="EC18" i="5"/>
  <c r="EB18" i="5"/>
  <c r="DL18" i="5"/>
  <c r="DU18" i="5" s="1"/>
  <c r="DK18" i="5"/>
  <c r="DT18" i="5" s="1"/>
  <c r="DJ18" i="5"/>
  <c r="CT18" i="5"/>
  <c r="CR18" i="5"/>
  <c r="CP18" i="5"/>
  <c r="CM18" i="5"/>
  <c r="BY18" i="5"/>
  <c r="BW18" i="5"/>
  <c r="BR18" i="5"/>
  <c r="AO18" i="5"/>
  <c r="AM18" i="5"/>
  <c r="AE18" i="5"/>
  <c r="AN18" i="5" s="1"/>
  <c r="AC18" i="5"/>
  <c r="AB18" i="5"/>
  <c r="AA18" i="5"/>
  <c r="T18" i="5"/>
  <c r="R18" i="5"/>
  <c r="P18" i="5"/>
  <c r="S18" i="5" s="1"/>
  <c r="K18" i="5"/>
  <c r="J18" i="5"/>
  <c r="I18" i="5"/>
  <c r="EA17" i="5"/>
  <c r="DZ17" i="5"/>
  <c r="DY17" i="5"/>
  <c r="DX17" i="5"/>
  <c r="DW17" i="5"/>
  <c r="DV17" i="5"/>
  <c r="DR17" i="5"/>
  <c r="DQ17" i="5"/>
  <c r="DP17" i="5"/>
  <c r="DO17" i="5"/>
  <c r="DN17" i="5"/>
  <c r="DM17" i="5"/>
  <c r="DI17" i="5"/>
  <c r="DH17" i="5"/>
  <c r="DG17" i="5"/>
  <c r="DF17" i="5"/>
  <c r="DE17" i="5"/>
  <c r="DD17" i="5"/>
  <c r="DC17" i="5"/>
  <c r="DB17" i="5"/>
  <c r="DA17" i="5"/>
  <c r="CZ17" i="5"/>
  <c r="CY17" i="5"/>
  <c r="CX17" i="5"/>
  <c r="CW17" i="5"/>
  <c r="CV17" i="5"/>
  <c r="CU17" i="5"/>
  <c r="CQ17" i="5"/>
  <c r="CO17" i="5"/>
  <c r="CN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V17" i="5"/>
  <c r="BU17" i="5"/>
  <c r="BT17" i="5"/>
  <c r="BS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L17" i="5"/>
  <c r="AK17" i="5"/>
  <c r="AJ17" i="5"/>
  <c r="AI17" i="5"/>
  <c r="AH17" i="5"/>
  <c r="AG17" i="5"/>
  <c r="AF17" i="5"/>
  <c r="AD17" i="5"/>
  <c r="Z17" i="5"/>
  <c r="Y17" i="5"/>
  <c r="X17" i="5"/>
  <c r="W17" i="5"/>
  <c r="V17" i="5"/>
  <c r="U17" i="5"/>
  <c r="Q17" i="5"/>
  <c r="O17" i="5"/>
  <c r="M17" i="5"/>
  <c r="L17" i="5"/>
  <c r="H17" i="5"/>
  <c r="G17" i="5"/>
  <c r="F17" i="5"/>
  <c r="E17" i="5"/>
  <c r="D17" i="5"/>
  <c r="C17" i="5"/>
  <c r="ED16" i="5"/>
  <c r="EC16" i="5"/>
  <c r="EB16" i="5"/>
  <c r="DL16" i="5"/>
  <c r="DU16" i="5" s="1"/>
  <c r="DK16" i="5"/>
  <c r="DJ16" i="5"/>
  <c r="DS16" i="5" s="1"/>
  <c r="DH16" i="5"/>
  <c r="DE16" i="5"/>
  <c r="CT16" i="5"/>
  <c r="CR16" i="5"/>
  <c r="CG16" i="5"/>
  <c r="CS16" i="5" s="1"/>
  <c r="BY16" i="5"/>
  <c r="BW16" i="5"/>
  <c r="BR16" i="5"/>
  <c r="BX16" i="5" s="1"/>
  <c r="AO16" i="5"/>
  <c r="AM16" i="5"/>
  <c r="AE16" i="5"/>
  <c r="AN16" i="5" s="1"/>
  <c r="AC16" i="5"/>
  <c r="AB16" i="5"/>
  <c r="AA16" i="5"/>
  <c r="T16" i="5"/>
  <c r="R16" i="5"/>
  <c r="P16" i="5"/>
  <c r="K16" i="5"/>
  <c r="J16" i="5"/>
  <c r="I16" i="5"/>
  <c r="ED15" i="5"/>
  <c r="EC15" i="5"/>
  <c r="EB15" i="5"/>
  <c r="DL15" i="5"/>
  <c r="DU15" i="5" s="1"/>
  <c r="DK15" i="5"/>
  <c r="DT15" i="5" s="1"/>
  <c r="DJ15" i="5"/>
  <c r="DS15" i="5" s="1"/>
  <c r="CT15" i="5"/>
  <c r="CS15" i="5"/>
  <c r="CR15" i="5"/>
  <c r="BY15" i="5"/>
  <c r="BX15" i="5"/>
  <c r="BW15" i="5"/>
  <c r="AO15" i="5"/>
  <c r="AM15" i="5"/>
  <c r="AE15" i="5"/>
  <c r="AN15" i="5" s="1"/>
  <c r="AC15" i="5"/>
  <c r="AB15" i="5"/>
  <c r="AA15" i="5"/>
  <c r="T15" i="5"/>
  <c r="S15" i="5"/>
  <c r="R15" i="5"/>
  <c r="K15" i="5"/>
  <c r="J15" i="5"/>
  <c r="I15" i="5"/>
  <c r="ED14" i="5"/>
  <c r="EC14" i="5"/>
  <c r="EB14" i="5"/>
  <c r="DL14" i="5"/>
  <c r="DU14" i="5" s="1"/>
  <c r="DK14" i="5"/>
  <c r="DJ14" i="5"/>
  <c r="DS14" i="5" s="1"/>
  <c r="DE14" i="5"/>
  <c r="CT14" i="5"/>
  <c r="CR14" i="5"/>
  <c r="CG14" i="5"/>
  <c r="CS14" i="5" s="1"/>
  <c r="BY14" i="5"/>
  <c r="BW14" i="5"/>
  <c r="BR14" i="5"/>
  <c r="AO14" i="5"/>
  <c r="AN14" i="5"/>
  <c r="AM14" i="5"/>
  <c r="AC14" i="5"/>
  <c r="AB14" i="5"/>
  <c r="AA14" i="5"/>
  <c r="T14" i="5"/>
  <c r="R14" i="5"/>
  <c r="P14" i="5"/>
  <c r="S14" i="5" s="1"/>
  <c r="K14" i="5"/>
  <c r="J14" i="5"/>
  <c r="I14" i="5"/>
  <c r="ED13" i="5"/>
  <c r="EC13" i="5"/>
  <c r="EB13" i="5"/>
  <c r="DL13" i="5"/>
  <c r="DU13" i="5" s="1"/>
  <c r="DK13" i="5"/>
  <c r="DJ13" i="5"/>
  <c r="DS13" i="5" s="1"/>
  <c r="DH13" i="5"/>
  <c r="CT13" i="5"/>
  <c r="CR13" i="5"/>
  <c r="CP13" i="5"/>
  <c r="CP11" i="5" s="1"/>
  <c r="CM13" i="5"/>
  <c r="CM11" i="5" s="1"/>
  <c r="CG13" i="5"/>
  <c r="BY13" i="5"/>
  <c r="BW13" i="5"/>
  <c r="BR13" i="5"/>
  <c r="BX13" i="5" s="1"/>
  <c r="AO13" i="5"/>
  <c r="AN13" i="5"/>
  <c r="AM13" i="5"/>
  <c r="AC13" i="5"/>
  <c r="AB13" i="5"/>
  <c r="AA13" i="5"/>
  <c r="T13" i="5"/>
  <c r="S13" i="5"/>
  <c r="R13" i="5"/>
  <c r="K13" i="5"/>
  <c r="J13" i="5"/>
  <c r="I13" i="5"/>
  <c r="ED12" i="5"/>
  <c r="EC12" i="5"/>
  <c r="EB12" i="5"/>
  <c r="DL12" i="5"/>
  <c r="DU12" i="5" s="1"/>
  <c r="DK12" i="5"/>
  <c r="DJ12" i="5"/>
  <c r="DS12" i="5" s="1"/>
  <c r="DH12" i="5"/>
  <c r="CT12" i="5"/>
  <c r="CR12" i="5"/>
  <c r="CG12" i="5"/>
  <c r="CS12" i="5" s="1"/>
  <c r="BY12" i="5"/>
  <c r="BX12" i="5"/>
  <c r="BW12" i="5"/>
  <c r="AO12" i="5"/>
  <c r="AM12" i="5"/>
  <c r="AE12" i="5"/>
  <c r="AN12" i="5" s="1"/>
  <c r="AC12" i="5"/>
  <c r="AB12" i="5"/>
  <c r="AA12" i="5"/>
  <c r="T12" i="5"/>
  <c r="S12" i="5"/>
  <c r="R12" i="5"/>
  <c r="K12" i="5"/>
  <c r="J12" i="5"/>
  <c r="I12" i="5"/>
  <c r="EA11" i="5"/>
  <c r="DZ11" i="5"/>
  <c r="DY11" i="5"/>
  <c r="DX11" i="5"/>
  <c r="DW11" i="5"/>
  <c r="DV11" i="5"/>
  <c r="DR11" i="5"/>
  <c r="DQ11" i="5"/>
  <c r="DP11" i="5"/>
  <c r="DO11" i="5"/>
  <c r="DN11" i="5"/>
  <c r="DM11" i="5"/>
  <c r="DI11" i="5"/>
  <c r="DG11" i="5"/>
  <c r="DF11" i="5"/>
  <c r="DD11" i="5"/>
  <c r="DC11" i="5"/>
  <c r="DB11" i="5"/>
  <c r="DA11" i="5"/>
  <c r="CZ11" i="5"/>
  <c r="CY11" i="5"/>
  <c r="CX11" i="5"/>
  <c r="CW11" i="5"/>
  <c r="CV11" i="5"/>
  <c r="CU11" i="5"/>
  <c r="CQ11" i="5"/>
  <c r="CO11" i="5"/>
  <c r="CN11" i="5"/>
  <c r="CL11" i="5"/>
  <c r="CK11" i="5"/>
  <c r="CJ11" i="5"/>
  <c r="CI11" i="5"/>
  <c r="CH11" i="5"/>
  <c r="CF11" i="5"/>
  <c r="CE11" i="5"/>
  <c r="CD11" i="5"/>
  <c r="CC11" i="5"/>
  <c r="CB11" i="5"/>
  <c r="CA11" i="5"/>
  <c r="BZ11" i="5"/>
  <c r="BV11" i="5"/>
  <c r="BU11" i="5"/>
  <c r="BT11" i="5"/>
  <c r="BS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L11" i="5"/>
  <c r="AK11" i="5"/>
  <c r="AJ11" i="5"/>
  <c r="AI11" i="5"/>
  <c r="AH11" i="5"/>
  <c r="AG11" i="5"/>
  <c r="AF11" i="5"/>
  <c r="AD11" i="5"/>
  <c r="Z11" i="5"/>
  <c r="Y11" i="5"/>
  <c r="X11" i="5"/>
  <c r="W11" i="5"/>
  <c r="V11" i="5"/>
  <c r="U11" i="5"/>
  <c r="Q11" i="5"/>
  <c r="O11" i="5"/>
  <c r="N11" i="5"/>
  <c r="M11" i="5"/>
  <c r="L11" i="5"/>
  <c r="H11" i="5"/>
  <c r="G11" i="5"/>
  <c r="F11" i="5"/>
  <c r="E11" i="5"/>
  <c r="D11" i="5"/>
  <c r="C11" i="5"/>
  <c r="DL10" i="5"/>
  <c r="DU10" i="5" s="1"/>
  <c r="DK10" i="5"/>
  <c r="DT10" i="5" s="1"/>
  <c r="DJ10" i="5"/>
  <c r="DS10" i="5" s="1"/>
  <c r="BY10" i="5"/>
  <c r="BX10" i="5"/>
  <c r="BW10" i="5"/>
  <c r="AO10" i="5"/>
  <c r="AN10" i="5"/>
  <c r="AM10" i="5"/>
  <c r="AC10" i="5"/>
  <c r="AB10" i="5"/>
  <c r="AA10" i="5"/>
  <c r="T10" i="5"/>
  <c r="S10" i="5"/>
  <c r="R10" i="5"/>
  <c r="K10" i="5"/>
  <c r="J10" i="5"/>
  <c r="I10" i="5"/>
  <c r="ED9" i="5"/>
  <c r="ED8" i="5" s="1"/>
  <c r="EC9" i="5"/>
  <c r="EC8" i="5" s="1"/>
  <c r="EB9" i="5"/>
  <c r="EB8" i="5" s="1"/>
  <c r="DL9" i="5"/>
  <c r="DU9" i="5" s="1"/>
  <c r="DK9" i="5"/>
  <c r="DT9" i="5" s="1"/>
  <c r="DJ9" i="5"/>
  <c r="DS9" i="5" s="1"/>
  <c r="CT9" i="5"/>
  <c r="CT8" i="5" s="1"/>
  <c r="CS9" i="5"/>
  <c r="CS8" i="5" s="1"/>
  <c r="CR9" i="5"/>
  <c r="CR8" i="5" s="1"/>
  <c r="BY9" i="5"/>
  <c r="BX9" i="5"/>
  <c r="BW9" i="5"/>
  <c r="AO9" i="5"/>
  <c r="AN9" i="5"/>
  <c r="AM9" i="5"/>
  <c r="AC9" i="5"/>
  <c r="AB9" i="5"/>
  <c r="AA9" i="5"/>
  <c r="T9" i="5"/>
  <c r="R9" i="5"/>
  <c r="P9" i="5"/>
  <c r="S9" i="5" s="1"/>
  <c r="J9" i="5"/>
  <c r="I9" i="5"/>
  <c r="H9" i="5"/>
  <c r="K9" i="5" s="1"/>
  <c r="EA8" i="5"/>
  <c r="DZ8" i="5"/>
  <c r="DY8" i="5"/>
  <c r="DX8" i="5"/>
  <c r="DW8" i="5"/>
  <c r="DV8" i="5"/>
  <c r="DR8" i="5"/>
  <c r="DQ8" i="5"/>
  <c r="DP8" i="5"/>
  <c r="DO8" i="5"/>
  <c r="DN8" i="5"/>
  <c r="DM8" i="5"/>
  <c r="DI8" i="5"/>
  <c r="DH8" i="5"/>
  <c r="DG8" i="5"/>
  <c r="DF8" i="5"/>
  <c r="DE8" i="5"/>
  <c r="DD8" i="5"/>
  <c r="DC8" i="5"/>
  <c r="DB8" i="5"/>
  <c r="DA8" i="5"/>
  <c r="CZ8" i="5"/>
  <c r="CY8" i="5"/>
  <c r="CX8" i="5"/>
  <c r="CW8" i="5"/>
  <c r="CV8" i="5"/>
  <c r="CU8" i="5"/>
  <c r="CQ8" i="5"/>
  <c r="CP8" i="5"/>
  <c r="CO8" i="5"/>
  <c r="CN8" i="5"/>
  <c r="CM8" i="5"/>
  <c r="CK8" i="5"/>
  <c r="CJ8" i="5"/>
  <c r="CI8" i="5"/>
  <c r="CH8" i="5"/>
  <c r="CG8" i="5"/>
  <c r="CF8" i="5"/>
  <c r="CE8" i="5"/>
  <c r="CD8" i="5"/>
  <c r="CC8" i="5"/>
  <c r="CB8" i="5"/>
  <c r="CA8" i="5"/>
  <c r="BZ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L8" i="5"/>
  <c r="AK8" i="5"/>
  <c r="AJ8" i="5"/>
  <c r="AI8" i="5"/>
  <c r="AH8" i="5"/>
  <c r="AG8" i="5"/>
  <c r="AF8" i="5"/>
  <c r="AE8" i="5"/>
  <c r="AD8" i="5"/>
  <c r="Z8" i="5"/>
  <c r="Y8" i="5"/>
  <c r="X8" i="5"/>
  <c r="W8" i="5"/>
  <c r="V8" i="5"/>
  <c r="U8" i="5"/>
  <c r="Q8" i="5"/>
  <c r="O8" i="5"/>
  <c r="N8" i="5"/>
  <c r="M8" i="5"/>
  <c r="L8" i="5"/>
  <c r="G8" i="5"/>
  <c r="F8" i="5"/>
  <c r="E8" i="5"/>
  <c r="D8" i="5"/>
  <c r="C8" i="5"/>
  <c r="BB57" i="4"/>
  <c r="BA57" i="4"/>
  <c r="AZ57" i="4"/>
  <c r="AR57" i="4"/>
  <c r="AQ57" i="4"/>
  <c r="AP57" i="4"/>
  <c r="Z57" i="4"/>
  <c r="Y57" i="4"/>
  <c r="X57" i="4"/>
  <c r="BB56" i="4"/>
  <c r="BA56" i="4"/>
  <c r="AZ56" i="4"/>
  <c r="AR56" i="4"/>
  <c r="AQ56" i="4"/>
  <c r="AP56" i="4"/>
  <c r="Z56" i="4"/>
  <c r="Y56" i="4"/>
  <c r="X56" i="4"/>
  <c r="H56" i="4"/>
  <c r="K56" i="4" s="1"/>
  <c r="N56" i="4" s="1"/>
  <c r="G56" i="4"/>
  <c r="J56" i="4" s="1"/>
  <c r="M56" i="4" s="1"/>
  <c r="F56" i="4"/>
  <c r="BB55" i="4"/>
  <c r="BA55" i="4"/>
  <c r="AZ55" i="4"/>
  <c r="AR55" i="4"/>
  <c r="AQ55" i="4"/>
  <c r="AP55" i="4"/>
  <c r="Z55" i="4"/>
  <c r="Y55" i="4"/>
  <c r="X55" i="4"/>
  <c r="H55" i="4"/>
  <c r="G55" i="4"/>
  <c r="F55" i="4"/>
  <c r="I55" i="4" s="1"/>
  <c r="L55" i="4" s="1"/>
  <c r="BB54" i="4"/>
  <c r="BA54" i="4"/>
  <c r="AZ54" i="4"/>
  <c r="AR54" i="4"/>
  <c r="AQ54" i="4"/>
  <c r="AP54" i="4"/>
  <c r="Z54" i="4"/>
  <c r="Y54" i="4"/>
  <c r="X54" i="4"/>
  <c r="H54" i="4"/>
  <c r="K54" i="4" s="1"/>
  <c r="N54" i="4" s="1"/>
  <c r="G54" i="4"/>
  <c r="J54" i="4" s="1"/>
  <c r="M54" i="4" s="1"/>
  <c r="F54" i="4"/>
  <c r="BB53" i="4"/>
  <c r="BA53" i="4"/>
  <c r="AZ53" i="4"/>
  <c r="AR53" i="4"/>
  <c r="AQ53" i="4"/>
  <c r="AP53" i="4"/>
  <c r="Z53" i="4"/>
  <c r="Y53" i="4"/>
  <c r="X53" i="4"/>
  <c r="H53" i="4"/>
  <c r="K53" i="4" s="1"/>
  <c r="N53" i="4" s="1"/>
  <c r="G53" i="4"/>
  <c r="F53" i="4"/>
  <c r="I53" i="4" s="1"/>
  <c r="L53" i="4" s="1"/>
  <c r="BB52" i="4"/>
  <c r="BA52" i="4"/>
  <c r="AZ52" i="4"/>
  <c r="AR52" i="4"/>
  <c r="AQ52" i="4"/>
  <c r="AP52" i="4"/>
  <c r="Y52" i="4"/>
  <c r="X52" i="4"/>
  <c r="Q52" i="4"/>
  <c r="H52" i="4"/>
  <c r="G52" i="4"/>
  <c r="J52" i="4" s="1"/>
  <c r="M52" i="4" s="1"/>
  <c r="F52" i="4"/>
  <c r="I52" i="4" s="1"/>
  <c r="L52" i="4" s="1"/>
  <c r="BB51" i="4"/>
  <c r="BA51" i="4"/>
  <c r="AZ51" i="4"/>
  <c r="AR51" i="4"/>
  <c r="AQ51" i="4"/>
  <c r="AP51" i="4"/>
  <c r="Y51" i="4"/>
  <c r="X51" i="4"/>
  <c r="Q51" i="4"/>
  <c r="Z51" i="4" s="1"/>
  <c r="H51" i="4"/>
  <c r="G51" i="4"/>
  <c r="F51" i="4"/>
  <c r="I51" i="4" s="1"/>
  <c r="L51" i="4" s="1"/>
  <c r="BB50" i="4"/>
  <c r="BA50" i="4"/>
  <c r="AZ50" i="4"/>
  <c r="AR50" i="4"/>
  <c r="AQ50" i="4"/>
  <c r="AP50" i="4"/>
  <c r="Z50" i="4"/>
  <c r="Y50" i="4"/>
  <c r="X50" i="4"/>
  <c r="H50" i="4"/>
  <c r="K50" i="4" s="1"/>
  <c r="G50" i="4"/>
  <c r="J50" i="4" s="1"/>
  <c r="F50" i="4"/>
  <c r="I50" i="4" s="1"/>
  <c r="AY49" i="4"/>
  <c r="AX49" i="4"/>
  <c r="AW49" i="4"/>
  <c r="AV49" i="4"/>
  <c r="AU49" i="4"/>
  <c r="AT49" i="4"/>
  <c r="AS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W49" i="4"/>
  <c r="V49" i="4"/>
  <c r="U49" i="4"/>
  <c r="T49" i="4"/>
  <c r="S49" i="4"/>
  <c r="R49" i="4"/>
  <c r="P49" i="4"/>
  <c r="O49" i="4"/>
  <c r="E49" i="4"/>
  <c r="D49" i="4"/>
  <c r="C49" i="4"/>
  <c r="BB48" i="4"/>
  <c r="BA48" i="4"/>
  <c r="AZ48" i="4"/>
  <c r="AR48" i="4"/>
  <c r="AQ48" i="4"/>
  <c r="AP48" i="4"/>
  <c r="Z48" i="4"/>
  <c r="X48" i="4"/>
  <c r="P48" i="4"/>
  <c r="Y48" i="4" s="1"/>
  <c r="H48" i="4"/>
  <c r="G48" i="4"/>
  <c r="J48" i="4" s="1"/>
  <c r="M48" i="4" s="1"/>
  <c r="F48" i="4"/>
  <c r="I48" i="4" s="1"/>
  <c r="L48" i="4" s="1"/>
  <c r="BB47" i="4"/>
  <c r="BA47" i="4"/>
  <c r="AZ47" i="4"/>
  <c r="AR47" i="4"/>
  <c r="AQ47" i="4"/>
  <c r="AP47" i="4"/>
  <c r="Z47" i="4"/>
  <c r="Y47" i="4"/>
  <c r="X47" i="4"/>
  <c r="H47" i="4"/>
  <c r="G47" i="4"/>
  <c r="F47" i="4"/>
  <c r="I47" i="4" s="1"/>
  <c r="L47" i="4" s="1"/>
  <c r="BB46" i="4"/>
  <c r="BA46" i="4"/>
  <c r="AZ46" i="4"/>
  <c r="AR46" i="4"/>
  <c r="AQ46" i="4"/>
  <c r="AP46" i="4"/>
  <c r="Z46" i="4"/>
  <c r="Y46" i="4"/>
  <c r="X46" i="4"/>
  <c r="H46" i="4"/>
  <c r="K46" i="4" s="1"/>
  <c r="N46" i="4" s="1"/>
  <c r="G46" i="4"/>
  <c r="J46" i="4" s="1"/>
  <c r="M46" i="4" s="1"/>
  <c r="F46" i="4"/>
  <c r="BB45" i="4"/>
  <c r="BA45" i="4"/>
  <c r="AZ45" i="4"/>
  <c r="AR45" i="4"/>
  <c r="AQ45" i="4"/>
  <c r="AP45" i="4"/>
  <c r="Z45" i="4"/>
  <c r="Y45" i="4"/>
  <c r="X45" i="4"/>
  <c r="H45" i="4"/>
  <c r="K45" i="4" s="1"/>
  <c r="N45" i="4" s="1"/>
  <c r="G45" i="4"/>
  <c r="F45" i="4"/>
  <c r="I45" i="4" s="1"/>
  <c r="L45" i="4" s="1"/>
  <c r="BB44" i="4"/>
  <c r="BA44" i="4"/>
  <c r="AZ44" i="4"/>
  <c r="AR44" i="4"/>
  <c r="AQ44" i="4"/>
  <c r="AP44" i="4"/>
  <c r="Z44" i="4"/>
  <c r="Y44" i="4"/>
  <c r="X44" i="4"/>
  <c r="H44" i="4"/>
  <c r="K44" i="4" s="1"/>
  <c r="N44" i="4" s="1"/>
  <c r="G44" i="4"/>
  <c r="J44" i="4" s="1"/>
  <c r="F44" i="4"/>
  <c r="I44" i="4" s="1"/>
  <c r="L44" i="4" s="1"/>
  <c r="AY43" i="4"/>
  <c r="AW43" i="4"/>
  <c r="AV43" i="4"/>
  <c r="AU43" i="4"/>
  <c r="AT43" i="4"/>
  <c r="AS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W43" i="4"/>
  <c r="V43" i="4"/>
  <c r="U43" i="4"/>
  <c r="T43" i="4"/>
  <c r="S43" i="4"/>
  <c r="R43" i="4"/>
  <c r="Q43" i="4"/>
  <c r="P43" i="4"/>
  <c r="O43" i="4"/>
  <c r="E43" i="4"/>
  <c r="D43" i="4"/>
  <c r="C43" i="4"/>
  <c r="BB42" i="4"/>
  <c r="BA42" i="4"/>
  <c r="AZ42" i="4"/>
  <c r="AR42" i="4"/>
  <c r="AR41" i="4" s="1"/>
  <c r="AQ42" i="4"/>
  <c r="AQ41" i="4" s="1"/>
  <c r="AP42" i="4"/>
  <c r="AP41" i="4" s="1"/>
  <c r="Z42" i="4"/>
  <c r="Y42" i="4"/>
  <c r="X42" i="4"/>
  <c r="H42" i="4"/>
  <c r="K42" i="4" s="1"/>
  <c r="G42" i="4"/>
  <c r="J42" i="4" s="1"/>
  <c r="J41" i="4" s="1"/>
  <c r="F42" i="4"/>
  <c r="I42" i="4" s="1"/>
  <c r="AY41" i="4"/>
  <c r="AW41" i="4"/>
  <c r="AV41" i="4"/>
  <c r="AU41" i="4"/>
  <c r="AT41" i="4"/>
  <c r="AS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W41" i="4"/>
  <c r="V41" i="4"/>
  <c r="U41" i="4"/>
  <c r="T41" i="4"/>
  <c r="S41" i="4"/>
  <c r="R41" i="4"/>
  <c r="Q41" i="4"/>
  <c r="P41" i="4"/>
  <c r="O41" i="4"/>
  <c r="F41" i="4"/>
  <c r="E41" i="4"/>
  <c r="D41" i="4"/>
  <c r="C41" i="4"/>
  <c r="BB40" i="4"/>
  <c r="BA40" i="4"/>
  <c r="AZ40" i="4"/>
  <c r="AR40" i="4"/>
  <c r="AQ40" i="4"/>
  <c r="AP40" i="4"/>
  <c r="Z40" i="4"/>
  <c r="Y40" i="4"/>
  <c r="X40" i="4"/>
  <c r="H40" i="4"/>
  <c r="G40" i="4"/>
  <c r="J40" i="4" s="1"/>
  <c r="M40" i="4" s="1"/>
  <c r="F40" i="4"/>
  <c r="I40" i="4" s="1"/>
  <c r="L40" i="4" s="1"/>
  <c r="BB39" i="4"/>
  <c r="BA39" i="4"/>
  <c r="AZ39" i="4"/>
  <c r="AR39" i="4"/>
  <c r="AQ39" i="4"/>
  <c r="AP39" i="4"/>
  <c r="Z39" i="4"/>
  <c r="X39" i="4"/>
  <c r="P39" i="4"/>
  <c r="Y39" i="4" s="1"/>
  <c r="H39" i="4"/>
  <c r="K39" i="4" s="1"/>
  <c r="G39" i="4"/>
  <c r="J39" i="4" s="1"/>
  <c r="M39" i="4" s="1"/>
  <c r="F39" i="4"/>
  <c r="BB38" i="4"/>
  <c r="BA38" i="4"/>
  <c r="AZ38" i="4"/>
  <c r="AR38" i="4"/>
  <c r="AQ38" i="4"/>
  <c r="AP38" i="4"/>
  <c r="Z38" i="4"/>
  <c r="Y38" i="4"/>
  <c r="X38" i="4"/>
  <c r="H38" i="4"/>
  <c r="G38" i="4"/>
  <c r="F38" i="4"/>
  <c r="I38" i="4" s="1"/>
  <c r="AY37" i="4"/>
  <c r="AX37" i="4"/>
  <c r="AW37" i="4"/>
  <c r="AV37" i="4"/>
  <c r="AU37" i="4"/>
  <c r="AT37" i="4"/>
  <c r="AS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W37" i="4"/>
  <c r="V37" i="4"/>
  <c r="U37" i="4"/>
  <c r="T37" i="4"/>
  <c r="S37" i="4"/>
  <c r="R37" i="4"/>
  <c r="Q37" i="4"/>
  <c r="O37" i="4"/>
  <c r="E37" i="4"/>
  <c r="D37" i="4"/>
  <c r="C37" i="4"/>
  <c r="BB36" i="4"/>
  <c r="BA36" i="4"/>
  <c r="AZ36" i="4"/>
  <c r="AR36" i="4"/>
  <c r="AQ36" i="4"/>
  <c r="AP36" i="4"/>
  <c r="Z36" i="4"/>
  <c r="Y36" i="4"/>
  <c r="X36" i="4"/>
  <c r="H36" i="4"/>
  <c r="G36" i="4"/>
  <c r="F36" i="4"/>
  <c r="BB35" i="4"/>
  <c r="BA35" i="4"/>
  <c r="AZ35" i="4"/>
  <c r="AR35" i="4"/>
  <c r="AQ35" i="4"/>
  <c r="AP35" i="4"/>
  <c r="Z35" i="4"/>
  <c r="Y35" i="4"/>
  <c r="X35" i="4"/>
  <c r="H35" i="4"/>
  <c r="K35" i="4" s="1"/>
  <c r="N35" i="4" s="1"/>
  <c r="G35" i="4"/>
  <c r="J35" i="4" s="1"/>
  <c r="M35" i="4" s="1"/>
  <c r="F35" i="4"/>
  <c r="I35" i="4" s="1"/>
  <c r="L35" i="4" s="1"/>
  <c r="BB34" i="4"/>
  <c r="BA34" i="4"/>
  <c r="AZ34" i="4"/>
  <c r="AR34" i="4"/>
  <c r="AQ34" i="4"/>
  <c r="AP34" i="4"/>
  <c r="Z34" i="4"/>
  <c r="Y34" i="4"/>
  <c r="X34" i="4"/>
  <c r="H34" i="4"/>
  <c r="G34" i="4"/>
  <c r="J34" i="4" s="1"/>
  <c r="M34" i="4" s="1"/>
  <c r="F34" i="4"/>
  <c r="BB33" i="4"/>
  <c r="BA33" i="4"/>
  <c r="AZ33" i="4"/>
  <c r="AR33" i="4"/>
  <c r="AQ33" i="4"/>
  <c r="AJ33" i="4"/>
  <c r="AP33" i="4" s="1"/>
  <c r="Z33" i="4"/>
  <c r="X33" i="4"/>
  <c r="V33" i="4"/>
  <c r="P33" i="4"/>
  <c r="H33" i="4"/>
  <c r="K33" i="4" s="1"/>
  <c r="N33" i="4" s="1"/>
  <c r="G33" i="4"/>
  <c r="J33" i="4" s="1"/>
  <c r="M33" i="4" s="1"/>
  <c r="F33" i="4"/>
  <c r="I33" i="4" s="1"/>
  <c r="L33" i="4" s="1"/>
  <c r="BB32" i="4"/>
  <c r="BA32" i="4"/>
  <c r="AZ32" i="4"/>
  <c r="AR32" i="4"/>
  <c r="AQ32" i="4"/>
  <c r="AP32" i="4"/>
  <c r="Z32" i="4"/>
  <c r="Y32" i="4"/>
  <c r="X32" i="4"/>
  <c r="H32" i="4"/>
  <c r="G32" i="4"/>
  <c r="J32" i="4" s="1"/>
  <c r="M32" i="4" s="1"/>
  <c r="F32" i="4"/>
  <c r="I32" i="4" s="1"/>
  <c r="L32" i="4" s="1"/>
  <c r="BB31" i="4"/>
  <c r="BA31" i="4"/>
  <c r="AZ31" i="4"/>
  <c r="AR31" i="4"/>
  <c r="AQ31" i="4"/>
  <c r="AP31" i="4"/>
  <c r="Z31" i="4"/>
  <c r="X31" i="4"/>
  <c r="V31" i="4"/>
  <c r="H31" i="4"/>
  <c r="K31" i="4" s="1"/>
  <c r="N31" i="4" s="1"/>
  <c r="G31" i="4"/>
  <c r="J31" i="4" s="1"/>
  <c r="M31" i="4" s="1"/>
  <c r="F31" i="4"/>
  <c r="BB30" i="4"/>
  <c r="BA30" i="4"/>
  <c r="AZ30" i="4"/>
  <c r="AR30" i="4"/>
  <c r="AQ30" i="4"/>
  <c r="AG30" i="4"/>
  <c r="AP30" i="4" s="1"/>
  <c r="Z30" i="4"/>
  <c r="X30" i="4"/>
  <c r="V30" i="4"/>
  <c r="Y30" i="4" s="1"/>
  <c r="H30" i="4"/>
  <c r="G30" i="4"/>
  <c r="J30" i="4" s="1"/>
  <c r="M30" i="4" s="1"/>
  <c r="F30" i="4"/>
  <c r="I30" i="4" s="1"/>
  <c r="L30" i="4" s="1"/>
  <c r="BB29" i="4"/>
  <c r="AZ29" i="4"/>
  <c r="AT29" i="4"/>
  <c r="BA29" i="4" s="1"/>
  <c r="AR29" i="4"/>
  <c r="AQ29" i="4"/>
  <c r="AJ29" i="4"/>
  <c r="Z29" i="4"/>
  <c r="X29" i="4"/>
  <c r="V29" i="4"/>
  <c r="P29" i="4"/>
  <c r="H29" i="4"/>
  <c r="G29" i="4"/>
  <c r="J29" i="4" s="1"/>
  <c r="M29" i="4" s="1"/>
  <c r="F29" i="4"/>
  <c r="I29" i="4" s="1"/>
  <c r="L29" i="4" s="1"/>
  <c r="BB28" i="4"/>
  <c r="BA28" i="4"/>
  <c r="AZ28" i="4"/>
  <c r="AR28" i="4"/>
  <c r="AQ28" i="4"/>
  <c r="AJ28" i="4"/>
  <c r="AP28" i="4" s="1"/>
  <c r="Z28" i="4"/>
  <c r="X28" i="4"/>
  <c r="V28" i="4"/>
  <c r="P28" i="4"/>
  <c r="H28" i="4"/>
  <c r="G28" i="4"/>
  <c r="J28" i="4" s="1"/>
  <c r="M28" i="4" s="1"/>
  <c r="F28" i="4"/>
  <c r="I28" i="4" s="1"/>
  <c r="L28" i="4" s="1"/>
  <c r="BB27" i="4"/>
  <c r="BA27" i="4"/>
  <c r="AZ27" i="4"/>
  <c r="AR27" i="4"/>
  <c r="AQ27" i="4"/>
  <c r="AJ27" i="4"/>
  <c r="AG27" i="4"/>
  <c r="Z27" i="4"/>
  <c r="X27" i="4"/>
  <c r="V27" i="4"/>
  <c r="P27" i="4"/>
  <c r="M27" i="4"/>
  <c r="L27" i="4"/>
  <c r="H27" i="4"/>
  <c r="G27" i="4"/>
  <c r="F27" i="4"/>
  <c r="BB26" i="4"/>
  <c r="BA26" i="4"/>
  <c r="AZ26" i="4"/>
  <c r="AR26" i="4"/>
  <c r="AQ26" i="4"/>
  <c r="AP26" i="4"/>
  <c r="Z26" i="4"/>
  <c r="X26" i="4"/>
  <c r="V26" i="4"/>
  <c r="P26" i="4"/>
  <c r="M26" i="4"/>
  <c r="L26" i="4"/>
  <c r="H26" i="4"/>
  <c r="K26" i="4" s="1"/>
  <c r="N26" i="4" s="1"/>
  <c r="G26" i="4"/>
  <c r="F26" i="4"/>
  <c r="BB25" i="4"/>
  <c r="BA25" i="4"/>
  <c r="AZ25" i="4"/>
  <c r="AR25" i="4"/>
  <c r="AQ25" i="4"/>
  <c r="AP25" i="4"/>
  <c r="Z25" i="4"/>
  <c r="Y25" i="4"/>
  <c r="X25" i="4"/>
  <c r="M25" i="4"/>
  <c r="L25" i="4"/>
  <c r="H25" i="4"/>
  <c r="K25" i="4" s="1"/>
  <c r="N25" i="4" s="1"/>
  <c r="G25" i="4"/>
  <c r="F25" i="4"/>
  <c r="BB24" i="4"/>
  <c r="BA24" i="4"/>
  <c r="AZ24" i="4"/>
  <c r="AR24" i="4"/>
  <c r="AQ24" i="4"/>
  <c r="AP24" i="4"/>
  <c r="Z24" i="4"/>
  <c r="Y24" i="4"/>
  <c r="X24" i="4"/>
  <c r="M24" i="4"/>
  <c r="L24" i="4"/>
  <c r="H24" i="4"/>
  <c r="K24" i="4" s="1"/>
  <c r="N24" i="4" s="1"/>
  <c r="G24" i="4"/>
  <c r="F24" i="4"/>
  <c r="BB23" i="4"/>
  <c r="BA23" i="4"/>
  <c r="AZ23" i="4"/>
  <c r="AR23" i="4"/>
  <c r="AQ23" i="4"/>
  <c r="AP23" i="4"/>
  <c r="Z23" i="4"/>
  <c r="Y23" i="4"/>
  <c r="X23" i="4"/>
  <c r="M23" i="4"/>
  <c r="L23" i="4"/>
  <c r="H23" i="4"/>
  <c r="K23" i="4" s="1"/>
  <c r="G23" i="4"/>
  <c r="F23" i="4"/>
  <c r="AY22" i="4"/>
  <c r="AX22" i="4"/>
  <c r="AW22" i="4"/>
  <c r="AV22" i="4"/>
  <c r="AU22" i="4"/>
  <c r="AS22" i="4"/>
  <c r="AO22" i="4"/>
  <c r="AN22" i="4"/>
  <c r="AM22" i="4"/>
  <c r="AL22" i="4"/>
  <c r="AK22" i="4"/>
  <c r="AI22" i="4"/>
  <c r="AH22" i="4"/>
  <c r="AF22" i="4"/>
  <c r="AE22" i="4"/>
  <c r="AD22" i="4"/>
  <c r="AC22" i="4"/>
  <c r="AB22" i="4"/>
  <c r="AA22" i="4"/>
  <c r="W22" i="4"/>
  <c r="U22" i="4"/>
  <c r="T22" i="4"/>
  <c r="S22" i="4"/>
  <c r="R22" i="4"/>
  <c r="Q22" i="4"/>
  <c r="O22" i="4"/>
  <c r="E22" i="4"/>
  <c r="D22" i="4"/>
  <c r="C22" i="4"/>
  <c r="BB21" i="4"/>
  <c r="BA21" i="4"/>
  <c r="AZ21" i="4"/>
  <c r="AR21" i="4"/>
  <c r="AQ21" i="4"/>
  <c r="AM21" i="4"/>
  <c r="Z21" i="4"/>
  <c r="Y21" i="4"/>
  <c r="X21" i="4"/>
  <c r="N21" i="4"/>
  <c r="M21" i="4"/>
  <c r="L21" i="4"/>
  <c r="H21" i="4"/>
  <c r="G21" i="4"/>
  <c r="F21" i="4"/>
  <c r="BB20" i="4"/>
  <c r="BA20" i="4"/>
  <c r="AZ20" i="4"/>
  <c r="AR20" i="4"/>
  <c r="AQ20" i="4"/>
  <c r="AM20" i="4"/>
  <c r="AP20" i="4" s="1"/>
  <c r="Z20" i="4"/>
  <c r="Y20" i="4"/>
  <c r="X20" i="4"/>
  <c r="N20" i="4"/>
  <c r="M20" i="4"/>
  <c r="L20" i="4"/>
  <c r="H20" i="4"/>
  <c r="G20" i="4"/>
  <c r="F20" i="4"/>
  <c r="BB19" i="4"/>
  <c r="BA19" i="4"/>
  <c r="AZ19" i="4"/>
  <c r="AR19" i="4"/>
  <c r="AQ19" i="4"/>
  <c r="AP19" i="4"/>
  <c r="Z19" i="4"/>
  <c r="Y19" i="4"/>
  <c r="X19" i="4"/>
  <c r="N19" i="4"/>
  <c r="L19" i="4"/>
  <c r="H19" i="4"/>
  <c r="G19" i="4"/>
  <c r="J19" i="4" s="1"/>
  <c r="J17" i="4" s="1"/>
  <c r="F19" i="4"/>
  <c r="BB18" i="4"/>
  <c r="BA18" i="4"/>
  <c r="AZ18" i="4"/>
  <c r="AR18" i="4"/>
  <c r="AQ18" i="4"/>
  <c r="AM18" i="4"/>
  <c r="AP18" i="4" s="1"/>
  <c r="Z18" i="4"/>
  <c r="Y18" i="4"/>
  <c r="X18" i="4"/>
  <c r="N18" i="4"/>
  <c r="M18" i="4"/>
  <c r="L18" i="4"/>
  <c r="H18" i="4"/>
  <c r="G18" i="4"/>
  <c r="F18" i="4"/>
  <c r="AY17" i="4"/>
  <c r="AX17" i="4"/>
  <c r="AW17" i="4"/>
  <c r="AV17" i="4"/>
  <c r="AU17" i="4"/>
  <c r="AT17" i="4"/>
  <c r="AS17" i="4"/>
  <c r="AO17" i="4"/>
  <c r="AN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W17" i="4"/>
  <c r="V17" i="4"/>
  <c r="U17" i="4"/>
  <c r="T17" i="4"/>
  <c r="S17" i="4"/>
  <c r="R17" i="4"/>
  <c r="Q17" i="4"/>
  <c r="P17" i="4"/>
  <c r="O17" i="4"/>
  <c r="K17" i="4"/>
  <c r="I17" i="4"/>
  <c r="E17" i="4"/>
  <c r="D17" i="4"/>
  <c r="C17" i="4"/>
  <c r="BB16" i="4"/>
  <c r="BA16" i="4"/>
  <c r="AZ16" i="4"/>
  <c r="AR16" i="4"/>
  <c r="AQ16" i="4"/>
  <c r="AJ16" i="4"/>
  <c r="AP16" i="4" s="1"/>
  <c r="Z16" i="4"/>
  <c r="Y16" i="4"/>
  <c r="X16" i="4"/>
  <c r="N16" i="4"/>
  <c r="M16" i="4"/>
  <c r="L16" i="4"/>
  <c r="H16" i="4"/>
  <c r="G16" i="4"/>
  <c r="F16" i="4"/>
  <c r="BB15" i="4"/>
  <c r="BA15" i="4"/>
  <c r="AZ15" i="4"/>
  <c r="AR15" i="4"/>
  <c r="AQ15" i="4"/>
  <c r="AP15" i="4"/>
  <c r="Z15" i="4"/>
  <c r="Y15" i="4"/>
  <c r="X15" i="4"/>
  <c r="N15" i="4"/>
  <c r="M15" i="4"/>
  <c r="L15" i="4"/>
  <c r="H15" i="4"/>
  <c r="D15" i="4"/>
  <c r="G15" i="4" s="1"/>
  <c r="C15" i="4"/>
  <c r="F15" i="4" s="1"/>
  <c r="BB14" i="4"/>
  <c r="BA14" i="4"/>
  <c r="AZ14" i="4"/>
  <c r="AR14" i="4"/>
  <c r="AQ14" i="4"/>
  <c r="AP14" i="4"/>
  <c r="Z14" i="4"/>
  <c r="Y14" i="4"/>
  <c r="X14" i="4"/>
  <c r="N14" i="4"/>
  <c r="M14" i="4"/>
  <c r="L14" i="4"/>
  <c r="H14" i="4"/>
  <c r="G14" i="4"/>
  <c r="F14" i="4"/>
  <c r="BB13" i="4"/>
  <c r="BA13" i="4"/>
  <c r="AZ13" i="4"/>
  <c r="AR13" i="4"/>
  <c r="AQ13" i="4"/>
  <c r="AP13" i="4"/>
  <c r="Z13" i="4"/>
  <c r="Y13" i="4"/>
  <c r="X13" i="4"/>
  <c r="N13" i="4"/>
  <c r="M13" i="4"/>
  <c r="L13" i="4"/>
  <c r="H13" i="4"/>
  <c r="F13" i="4"/>
  <c r="D13" i="4"/>
  <c r="G13" i="4" s="1"/>
  <c r="BB12" i="4"/>
  <c r="BA12" i="4"/>
  <c r="AZ12" i="4"/>
  <c r="AR12" i="4"/>
  <c r="AQ12" i="4"/>
  <c r="AP12" i="4"/>
  <c r="Z12" i="4"/>
  <c r="Y12" i="4"/>
  <c r="X12" i="4"/>
  <c r="N12" i="4"/>
  <c r="M12" i="4"/>
  <c r="L12" i="4"/>
  <c r="H12" i="4"/>
  <c r="G12" i="4"/>
  <c r="F12" i="4"/>
  <c r="AY11" i="4"/>
  <c r="AX11" i="4"/>
  <c r="AW11" i="4"/>
  <c r="AV11" i="4"/>
  <c r="AU11" i="4"/>
  <c r="AT11" i="4"/>
  <c r="AS11" i="4"/>
  <c r="AO11" i="4"/>
  <c r="AN11" i="4"/>
  <c r="AM11" i="4"/>
  <c r="AL11" i="4"/>
  <c r="AK11" i="4"/>
  <c r="AI11" i="4"/>
  <c r="AH11" i="4"/>
  <c r="AG11" i="4"/>
  <c r="AF11" i="4"/>
  <c r="AE11" i="4"/>
  <c r="AD11" i="4"/>
  <c r="AC11" i="4"/>
  <c r="AB11" i="4"/>
  <c r="AA11" i="4"/>
  <c r="W11" i="4"/>
  <c r="V11" i="4"/>
  <c r="U11" i="4"/>
  <c r="T11" i="4"/>
  <c r="S11" i="4"/>
  <c r="R11" i="4"/>
  <c r="Q11" i="4"/>
  <c r="P11" i="4"/>
  <c r="O11" i="4"/>
  <c r="K11" i="4"/>
  <c r="J11" i="4"/>
  <c r="I11" i="4"/>
  <c r="E11" i="4"/>
  <c r="BB10" i="4"/>
  <c r="BA10" i="4"/>
  <c r="AZ10" i="4"/>
  <c r="AR10" i="4"/>
  <c r="AQ10" i="4"/>
  <c r="AP10" i="4"/>
  <c r="Z10" i="4"/>
  <c r="Y10" i="4"/>
  <c r="X10" i="4"/>
  <c r="H10" i="4"/>
  <c r="G10" i="4"/>
  <c r="J10" i="4" s="1"/>
  <c r="M10" i="4" s="1"/>
  <c r="F10" i="4"/>
  <c r="BB9" i="4"/>
  <c r="BA9" i="4"/>
  <c r="AZ9" i="4"/>
  <c r="AR9" i="4"/>
  <c r="AQ9" i="4"/>
  <c r="AP9" i="4"/>
  <c r="Z9" i="4"/>
  <c r="Y9" i="4"/>
  <c r="X9" i="4"/>
  <c r="N9" i="4"/>
  <c r="M9" i="4"/>
  <c r="L9" i="4"/>
  <c r="H9" i="4"/>
  <c r="G9" i="4"/>
  <c r="F9" i="4"/>
  <c r="AY8" i="4"/>
  <c r="AX8" i="4"/>
  <c r="AW8" i="4"/>
  <c r="AV8" i="4"/>
  <c r="AU8" i="4"/>
  <c r="AT8" i="4"/>
  <c r="AS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W8" i="4"/>
  <c r="V8" i="4"/>
  <c r="U8" i="4"/>
  <c r="T8" i="4"/>
  <c r="S8" i="4"/>
  <c r="R8" i="4"/>
  <c r="Q8" i="4"/>
  <c r="P8" i="4"/>
  <c r="O8" i="4"/>
  <c r="E8" i="4"/>
  <c r="D8" i="4"/>
  <c r="C8" i="4"/>
  <c r="DX62" i="3"/>
  <c r="DW62" i="3"/>
  <c r="DV62" i="3"/>
  <c r="DO62" i="3"/>
  <c r="DN62" i="3"/>
  <c r="DM62" i="3"/>
  <c r="CZ62" i="3"/>
  <c r="CY62" i="3"/>
  <c r="CX62" i="3"/>
  <c r="BJ62" i="3"/>
  <c r="BI62" i="3"/>
  <c r="BH62" i="3"/>
  <c r="AX62" i="3"/>
  <c r="AW62" i="3"/>
  <c r="AV62" i="3"/>
  <c r="Z62" i="3"/>
  <c r="Y62" i="3"/>
  <c r="X62" i="3"/>
  <c r="K62" i="3"/>
  <c r="J62" i="3"/>
  <c r="I62" i="3"/>
  <c r="DX61" i="3"/>
  <c r="DW61" i="3"/>
  <c r="DV61" i="3"/>
  <c r="DO61" i="3"/>
  <c r="DN61" i="3"/>
  <c r="DM61" i="3"/>
  <c r="CZ61" i="3"/>
  <c r="CY61" i="3"/>
  <c r="CX61" i="3"/>
  <c r="BJ61" i="3"/>
  <c r="BI61" i="3"/>
  <c r="BH61" i="3"/>
  <c r="AX61" i="3"/>
  <c r="AW61" i="3"/>
  <c r="AV61" i="3"/>
  <c r="Z61" i="3"/>
  <c r="Y61" i="3"/>
  <c r="X61" i="3"/>
  <c r="K61" i="3"/>
  <c r="J61" i="3"/>
  <c r="I61" i="3"/>
  <c r="DX60" i="3"/>
  <c r="DW60" i="3"/>
  <c r="DV60" i="3"/>
  <c r="DO60" i="3"/>
  <c r="DN60" i="3"/>
  <c r="DM60" i="3"/>
  <c r="CZ60" i="3"/>
  <c r="CY60" i="3"/>
  <c r="CX60" i="3"/>
  <c r="BJ60" i="3"/>
  <c r="BI60" i="3"/>
  <c r="BH60" i="3"/>
  <c r="AX60" i="3"/>
  <c r="AW60" i="3"/>
  <c r="AV60" i="3"/>
  <c r="Z60" i="3"/>
  <c r="Y60" i="3"/>
  <c r="X60" i="3"/>
  <c r="K60" i="3"/>
  <c r="J60" i="3"/>
  <c r="I60" i="3"/>
  <c r="DU59" i="3"/>
  <c r="DT59" i="3"/>
  <c r="DS59" i="3"/>
  <c r="DR59" i="3"/>
  <c r="DQ59" i="3"/>
  <c r="DP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G59" i="3"/>
  <c r="BF59" i="3"/>
  <c r="BE59" i="3"/>
  <c r="BD59" i="3"/>
  <c r="BC59" i="3"/>
  <c r="BB59" i="3"/>
  <c r="BA59" i="3"/>
  <c r="AZ59" i="3"/>
  <c r="AY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W59" i="3"/>
  <c r="V59" i="3"/>
  <c r="U59" i="3"/>
  <c r="T59" i="3"/>
  <c r="S59" i="3"/>
  <c r="R59" i="3"/>
  <c r="Q59" i="3"/>
  <c r="P59" i="3"/>
  <c r="O59" i="3"/>
  <c r="N59" i="3"/>
  <c r="M59" i="3"/>
  <c r="L59" i="3"/>
  <c r="H59" i="3"/>
  <c r="G59" i="3"/>
  <c r="F59" i="3"/>
  <c r="E59" i="3"/>
  <c r="D59" i="3"/>
  <c r="C59" i="3"/>
  <c r="DX58" i="3"/>
  <c r="DW58" i="3"/>
  <c r="DV58" i="3"/>
  <c r="DO58" i="3"/>
  <c r="DN58" i="3"/>
  <c r="DM58" i="3"/>
  <c r="CZ58" i="3"/>
  <c r="CY58" i="3"/>
  <c r="CX58" i="3"/>
  <c r="BJ58" i="3"/>
  <c r="BI58" i="3"/>
  <c r="BH58" i="3"/>
  <c r="AX58" i="3"/>
  <c r="AW58" i="3"/>
  <c r="AV58" i="3"/>
  <c r="Z58" i="3"/>
  <c r="Y58" i="3"/>
  <c r="X58" i="3"/>
  <c r="K58" i="3"/>
  <c r="J58" i="3"/>
  <c r="I58" i="3"/>
  <c r="DX57" i="3"/>
  <c r="DW57" i="3"/>
  <c r="DV57" i="3"/>
  <c r="DO57" i="3"/>
  <c r="DN57" i="3"/>
  <c r="DM57" i="3"/>
  <c r="CZ57" i="3"/>
  <c r="CY57" i="3"/>
  <c r="CX57" i="3"/>
  <c r="BJ57" i="3"/>
  <c r="BI57" i="3"/>
  <c r="BH57" i="3"/>
  <c r="AX57" i="3"/>
  <c r="AW57" i="3"/>
  <c r="AV57" i="3"/>
  <c r="Z57" i="3"/>
  <c r="Y57" i="3"/>
  <c r="X57" i="3"/>
  <c r="K57" i="3"/>
  <c r="J57" i="3"/>
  <c r="I57" i="3"/>
  <c r="DX56" i="3"/>
  <c r="DW56" i="3"/>
  <c r="DV56" i="3"/>
  <c r="DO56" i="3"/>
  <c r="DN56" i="3"/>
  <c r="DM56" i="3"/>
  <c r="CZ56" i="3"/>
  <c r="CY56" i="3"/>
  <c r="CX56" i="3"/>
  <c r="BJ56" i="3"/>
  <c r="BI56" i="3"/>
  <c r="BH56" i="3"/>
  <c r="AX56" i="3"/>
  <c r="AV56" i="3"/>
  <c r="AH56" i="3"/>
  <c r="AB56" i="3"/>
  <c r="Z56" i="3"/>
  <c r="Y56" i="3"/>
  <c r="X56" i="3"/>
  <c r="K56" i="3"/>
  <c r="J56" i="3"/>
  <c r="I56" i="3"/>
  <c r="DX55" i="3"/>
  <c r="DW55" i="3"/>
  <c r="DV55" i="3"/>
  <c r="DO55" i="3"/>
  <c r="DN55" i="3"/>
  <c r="DM55" i="3"/>
  <c r="CZ55" i="3"/>
  <c r="CY55" i="3"/>
  <c r="CX55" i="3"/>
  <c r="BJ55" i="3"/>
  <c r="BI55" i="3"/>
  <c r="BH55" i="3"/>
  <c r="AX55" i="3"/>
  <c r="AW55" i="3"/>
  <c r="AV55" i="3"/>
  <c r="Z55" i="3"/>
  <c r="Y55" i="3"/>
  <c r="X55" i="3"/>
  <c r="K55" i="3"/>
  <c r="J55" i="3"/>
  <c r="I55" i="3"/>
  <c r="DX54" i="3"/>
  <c r="DW54" i="3"/>
  <c r="DV54" i="3"/>
  <c r="DO54" i="3"/>
  <c r="DN54" i="3"/>
  <c r="DM54" i="3"/>
  <c r="CZ54" i="3"/>
  <c r="CY54" i="3"/>
  <c r="CX54" i="3"/>
  <c r="BJ54" i="3"/>
  <c r="BI54" i="3"/>
  <c r="BH54" i="3"/>
  <c r="AX54" i="3"/>
  <c r="AV54" i="3"/>
  <c r="AK54" i="3"/>
  <c r="AH54" i="3"/>
  <c r="AB54" i="3"/>
  <c r="Z54" i="3"/>
  <c r="Y54" i="3"/>
  <c r="X54" i="3"/>
  <c r="K54" i="3"/>
  <c r="J54" i="3"/>
  <c r="I54" i="3"/>
  <c r="DX53" i="3"/>
  <c r="DW53" i="3"/>
  <c r="DV53" i="3"/>
  <c r="DO53" i="3"/>
  <c r="DN53" i="3"/>
  <c r="DM53" i="3"/>
  <c r="CZ53" i="3"/>
  <c r="CY53" i="3"/>
  <c r="CX53" i="3"/>
  <c r="BJ53" i="3"/>
  <c r="BI53" i="3"/>
  <c r="BH53" i="3"/>
  <c r="AX53" i="3"/>
  <c r="AW53" i="3"/>
  <c r="AV53" i="3"/>
  <c r="Z53" i="3"/>
  <c r="Y53" i="3"/>
  <c r="X53" i="3"/>
  <c r="K53" i="3"/>
  <c r="J53" i="3"/>
  <c r="I53" i="3"/>
  <c r="DX52" i="3"/>
  <c r="DW52" i="3"/>
  <c r="DV52" i="3"/>
  <c r="DO52" i="3"/>
  <c r="DN52" i="3"/>
  <c r="DM52" i="3"/>
  <c r="CZ52" i="3"/>
  <c r="CY52" i="3"/>
  <c r="CX52" i="3"/>
  <c r="BJ52" i="3"/>
  <c r="BI52" i="3"/>
  <c r="BH52" i="3"/>
  <c r="AX52" i="3"/>
  <c r="AK52" i="3"/>
  <c r="AH52" i="3"/>
  <c r="AB52" i="3"/>
  <c r="AA52" i="3"/>
  <c r="AV52" i="3" s="1"/>
  <c r="Z52" i="3"/>
  <c r="Y52" i="3"/>
  <c r="X52" i="3"/>
  <c r="K52" i="3"/>
  <c r="J52" i="3"/>
  <c r="I52" i="3"/>
  <c r="DU51" i="3"/>
  <c r="DT51" i="3"/>
  <c r="DS51" i="3"/>
  <c r="DR51" i="3"/>
  <c r="DQ51" i="3"/>
  <c r="DP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G51" i="3"/>
  <c r="BF51" i="3"/>
  <c r="BE51" i="3"/>
  <c r="BD51" i="3"/>
  <c r="BC51" i="3"/>
  <c r="BB51" i="3"/>
  <c r="BA51" i="3"/>
  <c r="AZ51" i="3"/>
  <c r="AY51" i="3"/>
  <c r="AU51" i="3"/>
  <c r="AT51" i="3"/>
  <c r="AS51" i="3"/>
  <c r="AR51" i="3"/>
  <c r="AQ51" i="3"/>
  <c r="AP51" i="3"/>
  <c r="AO51" i="3"/>
  <c r="AN51" i="3"/>
  <c r="AM51" i="3"/>
  <c r="AL51" i="3"/>
  <c r="AJ51" i="3"/>
  <c r="AI51" i="3"/>
  <c r="AG51" i="3"/>
  <c r="AF51" i="3"/>
  <c r="AE51" i="3"/>
  <c r="AD51" i="3"/>
  <c r="AC51" i="3"/>
  <c r="W51" i="3"/>
  <c r="V51" i="3"/>
  <c r="U51" i="3"/>
  <c r="T51" i="3"/>
  <c r="S51" i="3"/>
  <c r="R51" i="3"/>
  <c r="Q51" i="3"/>
  <c r="P51" i="3"/>
  <c r="O51" i="3"/>
  <c r="N51" i="3"/>
  <c r="M51" i="3"/>
  <c r="L51" i="3"/>
  <c r="H51" i="3"/>
  <c r="G51" i="3"/>
  <c r="F51" i="3"/>
  <c r="E51" i="3"/>
  <c r="D51" i="3"/>
  <c r="C51" i="3"/>
  <c r="DX50" i="3"/>
  <c r="DW50" i="3"/>
  <c r="DV50" i="3"/>
  <c r="DO50" i="3"/>
  <c r="DN50" i="3"/>
  <c r="DM50" i="3"/>
  <c r="CZ50" i="3"/>
  <c r="CJ50" i="3"/>
  <c r="CY50" i="3" s="1"/>
  <c r="CI50" i="3"/>
  <c r="CX50" i="3" s="1"/>
  <c r="BJ50" i="3"/>
  <c r="BI50" i="3"/>
  <c r="BH50" i="3"/>
  <c r="AV50" i="3"/>
  <c r="AI50" i="3"/>
  <c r="AX50" i="3" s="1"/>
  <c r="AH50" i="3"/>
  <c r="AW50" i="3" s="1"/>
  <c r="Z50" i="3"/>
  <c r="Y50" i="3"/>
  <c r="X50" i="3"/>
  <c r="K50" i="3"/>
  <c r="J50" i="3"/>
  <c r="I50" i="3"/>
  <c r="DX49" i="3"/>
  <c r="DW49" i="3"/>
  <c r="DV49" i="3"/>
  <c r="DO49" i="3"/>
  <c r="DN49" i="3"/>
  <c r="DM49" i="3"/>
  <c r="CZ49" i="3"/>
  <c r="CY49" i="3"/>
  <c r="CX49" i="3"/>
  <c r="BJ49" i="3"/>
  <c r="BI49" i="3"/>
  <c r="BH49" i="3"/>
  <c r="AX49" i="3"/>
  <c r="AW49" i="3"/>
  <c r="AV49" i="3"/>
  <c r="Z49" i="3"/>
  <c r="Y49" i="3"/>
  <c r="X49" i="3"/>
  <c r="K49" i="3"/>
  <c r="J49" i="3"/>
  <c r="I49" i="3"/>
  <c r="DX48" i="3"/>
  <c r="DW48" i="3"/>
  <c r="DV48" i="3"/>
  <c r="DO48" i="3"/>
  <c r="DM48" i="3"/>
  <c r="DH48" i="3"/>
  <c r="DN48" i="3" s="1"/>
  <c r="CZ48" i="3"/>
  <c r="CY48" i="3"/>
  <c r="CX48" i="3"/>
  <c r="BJ48" i="3"/>
  <c r="BI48" i="3"/>
  <c r="BH48" i="3"/>
  <c r="AX48" i="3"/>
  <c r="AW48" i="3"/>
  <c r="AV48" i="3"/>
  <c r="Z48" i="3"/>
  <c r="Y48" i="3"/>
  <c r="X48" i="3"/>
  <c r="K48" i="3"/>
  <c r="J48" i="3"/>
  <c r="I48" i="3"/>
  <c r="DX47" i="3"/>
  <c r="DW47" i="3"/>
  <c r="DV47" i="3"/>
  <c r="DO47" i="3"/>
  <c r="DN47" i="3"/>
  <c r="DM47" i="3"/>
  <c r="CZ47" i="3"/>
  <c r="CY47" i="3"/>
  <c r="CX47" i="3"/>
  <c r="BJ47" i="3"/>
  <c r="BI47" i="3"/>
  <c r="BH47" i="3"/>
  <c r="AX47" i="3"/>
  <c r="AW47" i="3"/>
  <c r="AV47" i="3"/>
  <c r="Z47" i="3"/>
  <c r="Y47" i="3"/>
  <c r="X47" i="3"/>
  <c r="K47" i="3"/>
  <c r="J47" i="3"/>
  <c r="I47" i="3"/>
  <c r="DW46" i="3"/>
  <c r="DU46" i="3"/>
  <c r="DX46" i="3" s="1"/>
  <c r="DS46" i="3"/>
  <c r="DV46" i="3" s="1"/>
  <c r="DF46" i="3"/>
  <c r="DF45" i="3" s="1"/>
  <c r="DE46" i="3"/>
  <c r="DE45" i="3" s="1"/>
  <c r="DD46" i="3"/>
  <c r="DD45" i="3" s="1"/>
  <c r="DC46" i="3"/>
  <c r="DC45" i="3" s="1"/>
  <c r="DB46" i="3"/>
  <c r="DB45" i="3" s="1"/>
  <c r="DA46" i="3"/>
  <c r="CW46" i="3"/>
  <c r="CW45" i="3" s="1"/>
  <c r="CV46" i="3"/>
  <c r="CV45" i="3" s="1"/>
  <c r="CU46" i="3"/>
  <c r="CU45" i="3" s="1"/>
  <c r="CT46" i="3"/>
  <c r="CT45" i="3" s="1"/>
  <c r="CS46" i="3"/>
  <c r="CS45" i="3" s="1"/>
  <c r="CR46" i="3"/>
  <c r="CR45" i="3" s="1"/>
  <c r="CQ46" i="3"/>
  <c r="CQ45" i="3" s="1"/>
  <c r="CP46" i="3"/>
  <c r="CP45" i="3" s="1"/>
  <c r="CO46" i="3"/>
  <c r="CO45" i="3" s="1"/>
  <c r="CN46" i="3"/>
  <c r="CN45" i="3" s="1"/>
  <c r="CM46" i="3"/>
  <c r="CM45" i="3" s="1"/>
  <c r="CL46" i="3"/>
  <c r="CL45" i="3" s="1"/>
  <c r="CK46" i="3"/>
  <c r="CK45" i="3" s="1"/>
  <c r="CJ46" i="3"/>
  <c r="CJ45" i="3" s="1"/>
  <c r="CI46" i="3"/>
  <c r="CI45" i="3" s="1"/>
  <c r="CH46" i="3"/>
  <c r="CH45" i="3" s="1"/>
  <c r="CG46" i="3"/>
  <c r="CG45" i="3" s="1"/>
  <c r="CF46" i="3"/>
  <c r="CF45" i="3" s="1"/>
  <c r="CE46" i="3"/>
  <c r="CE45" i="3" s="1"/>
  <c r="CD46" i="3"/>
  <c r="CD45" i="3" s="1"/>
  <c r="CC46" i="3"/>
  <c r="CC45" i="3" s="1"/>
  <c r="CB46" i="3"/>
  <c r="CB45" i="3" s="1"/>
  <c r="CA46" i="3"/>
  <c r="CA45" i="3" s="1"/>
  <c r="BZ46" i="3"/>
  <c r="BZ45" i="3" s="1"/>
  <c r="BY46" i="3"/>
  <c r="BY45" i="3" s="1"/>
  <c r="BX46" i="3"/>
  <c r="BX45" i="3" s="1"/>
  <c r="BW46" i="3"/>
  <c r="BW45" i="3" s="1"/>
  <c r="BV46" i="3"/>
  <c r="BV45" i="3" s="1"/>
  <c r="BU46" i="3"/>
  <c r="BU45" i="3" s="1"/>
  <c r="BT46" i="3"/>
  <c r="BT45" i="3" s="1"/>
  <c r="BS46" i="3"/>
  <c r="BS45" i="3" s="1"/>
  <c r="BR46" i="3"/>
  <c r="BR45" i="3" s="1"/>
  <c r="BQ46" i="3"/>
  <c r="BQ45" i="3" s="1"/>
  <c r="BP46" i="3"/>
  <c r="BP45" i="3" s="1"/>
  <c r="BO46" i="3"/>
  <c r="BO45" i="3" s="1"/>
  <c r="BN46" i="3"/>
  <c r="BN45" i="3" s="1"/>
  <c r="BM46" i="3"/>
  <c r="BM45" i="3" s="1"/>
  <c r="BL46" i="3"/>
  <c r="BL45" i="3" s="1"/>
  <c r="BK46" i="3"/>
  <c r="BK45" i="3" s="1"/>
  <c r="BG46" i="3"/>
  <c r="BG45" i="3" s="1"/>
  <c r="BF46" i="3"/>
  <c r="BF45" i="3" s="1"/>
  <c r="BE46" i="3"/>
  <c r="BE45" i="3" s="1"/>
  <c r="BD46" i="3"/>
  <c r="BD45" i="3" s="1"/>
  <c r="BC46" i="3"/>
  <c r="BC45" i="3" s="1"/>
  <c r="BB46" i="3"/>
  <c r="BB45" i="3" s="1"/>
  <c r="BA46" i="3"/>
  <c r="BA45" i="3" s="1"/>
  <c r="AZ46" i="3"/>
  <c r="AZ45" i="3" s="1"/>
  <c r="AY46" i="3"/>
  <c r="AY45" i="3" s="1"/>
  <c r="AU46" i="3"/>
  <c r="AU45" i="3" s="1"/>
  <c r="AT46" i="3"/>
  <c r="AT45" i="3" s="1"/>
  <c r="AS46" i="3"/>
  <c r="AS45" i="3" s="1"/>
  <c r="AR46" i="3"/>
  <c r="AR45" i="3" s="1"/>
  <c r="AQ46" i="3"/>
  <c r="AQ45" i="3" s="1"/>
  <c r="AP46" i="3"/>
  <c r="AP45" i="3" s="1"/>
  <c r="AO46" i="3"/>
  <c r="AO45" i="3" s="1"/>
  <c r="AN46" i="3"/>
  <c r="AN45" i="3" s="1"/>
  <c r="AL46" i="3"/>
  <c r="AL45" i="3" s="1"/>
  <c r="AK46" i="3"/>
  <c r="AK45" i="3" s="1"/>
  <c r="AJ46" i="3"/>
  <c r="AJ45" i="3" s="1"/>
  <c r="AI46" i="3"/>
  <c r="AI45" i="3" s="1"/>
  <c r="AH46" i="3"/>
  <c r="AH45" i="3" s="1"/>
  <c r="AG46" i="3"/>
  <c r="AG45" i="3" s="1"/>
  <c r="AF46" i="3"/>
  <c r="AF45" i="3" s="1"/>
  <c r="AE46" i="3"/>
  <c r="AE45" i="3" s="1"/>
  <c r="AD46" i="3"/>
  <c r="AD45" i="3" s="1"/>
  <c r="AC46" i="3"/>
  <c r="AB46" i="3"/>
  <c r="AA46" i="3"/>
  <c r="AA45" i="3" s="1"/>
  <c r="W46" i="3"/>
  <c r="W45" i="3" s="1"/>
  <c r="V46" i="3"/>
  <c r="V45" i="3" s="1"/>
  <c r="U46" i="3"/>
  <c r="U45" i="3" s="1"/>
  <c r="T46" i="3"/>
  <c r="T45" i="3" s="1"/>
  <c r="S46" i="3"/>
  <c r="S45" i="3" s="1"/>
  <c r="R46" i="3"/>
  <c r="R45" i="3" s="1"/>
  <c r="Q46" i="3"/>
  <c r="Q45" i="3" s="1"/>
  <c r="P46" i="3"/>
  <c r="P45" i="3" s="1"/>
  <c r="O46" i="3"/>
  <c r="O45" i="3" s="1"/>
  <c r="N46" i="3"/>
  <c r="M46" i="3"/>
  <c r="L46" i="3"/>
  <c r="L45" i="3" s="1"/>
  <c r="H46" i="3"/>
  <c r="H45" i="3" s="1"/>
  <c r="G46" i="3"/>
  <c r="G45" i="3" s="1"/>
  <c r="F46" i="3"/>
  <c r="F45" i="3" s="1"/>
  <c r="E46" i="3"/>
  <c r="D46" i="3"/>
  <c r="C46" i="3"/>
  <c r="C45" i="3" s="1"/>
  <c r="DT45" i="3"/>
  <c r="DR45" i="3"/>
  <c r="DQ45" i="3"/>
  <c r="DP45" i="3"/>
  <c r="DL45" i="3"/>
  <c r="DK45" i="3"/>
  <c r="DJ45" i="3"/>
  <c r="DI45" i="3"/>
  <c r="DH45" i="3"/>
  <c r="DG45" i="3"/>
  <c r="AM45" i="3"/>
  <c r="AM44" i="3" s="1"/>
  <c r="AV44" i="3" s="1"/>
  <c r="DX44" i="3"/>
  <c r="DW44" i="3"/>
  <c r="DV44" i="3"/>
  <c r="DO44" i="3"/>
  <c r="DN44" i="3"/>
  <c r="DM44" i="3"/>
  <c r="CZ44" i="3"/>
  <c r="CY44" i="3"/>
  <c r="CX44" i="3"/>
  <c r="BJ44" i="3"/>
  <c r="BI44" i="3"/>
  <c r="BH44" i="3"/>
  <c r="AX44" i="3"/>
  <c r="AW44" i="3"/>
  <c r="Z44" i="3"/>
  <c r="Y44" i="3"/>
  <c r="X44" i="3"/>
  <c r="K44" i="3"/>
  <c r="J44" i="3"/>
  <c r="I44" i="3"/>
  <c r="DX43" i="3"/>
  <c r="DW43" i="3"/>
  <c r="DV43" i="3"/>
  <c r="DO43" i="3"/>
  <c r="DN43" i="3"/>
  <c r="DM43" i="3"/>
  <c r="CZ43" i="3"/>
  <c r="CX43" i="3"/>
  <c r="BU43" i="3"/>
  <c r="BR43" i="3"/>
  <c r="BR42" i="3" s="1"/>
  <c r="BJ43" i="3"/>
  <c r="BI43" i="3"/>
  <c r="BH43" i="3"/>
  <c r="AX43" i="3"/>
  <c r="AW43" i="3"/>
  <c r="AV43" i="3"/>
  <c r="Z43" i="3"/>
  <c r="Y43" i="3"/>
  <c r="X43" i="3"/>
  <c r="K43" i="3"/>
  <c r="J43" i="3"/>
  <c r="I43" i="3"/>
  <c r="DU42" i="3"/>
  <c r="DT42" i="3"/>
  <c r="DS42" i="3"/>
  <c r="DR42" i="3"/>
  <c r="DQ42" i="3"/>
  <c r="DP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T42" i="3"/>
  <c r="BS42" i="3"/>
  <c r="BQ42" i="3"/>
  <c r="BP42" i="3"/>
  <c r="BO42" i="3"/>
  <c r="BN42" i="3"/>
  <c r="BM42" i="3"/>
  <c r="BL42" i="3"/>
  <c r="BK42" i="3"/>
  <c r="BG42" i="3"/>
  <c r="BF42" i="3"/>
  <c r="BE42" i="3"/>
  <c r="BD42" i="3"/>
  <c r="BC42" i="3"/>
  <c r="BB42" i="3"/>
  <c r="BA42" i="3"/>
  <c r="AZ42" i="3"/>
  <c r="AY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W42" i="3"/>
  <c r="V42" i="3"/>
  <c r="U42" i="3"/>
  <c r="T42" i="3"/>
  <c r="S42" i="3"/>
  <c r="R42" i="3"/>
  <c r="Q42" i="3"/>
  <c r="P42" i="3"/>
  <c r="O42" i="3"/>
  <c r="N42" i="3"/>
  <c r="M42" i="3"/>
  <c r="L42" i="3"/>
  <c r="H42" i="3"/>
  <c r="G42" i="3"/>
  <c r="F42" i="3"/>
  <c r="E42" i="3"/>
  <c r="D42" i="3"/>
  <c r="C42" i="3"/>
  <c r="DX41" i="3"/>
  <c r="DW41" i="3"/>
  <c r="DV41" i="3"/>
  <c r="CZ41" i="3"/>
  <c r="CY41" i="3"/>
  <c r="CX41" i="3"/>
  <c r="BJ41" i="3"/>
  <c r="BI41" i="3"/>
  <c r="BH41" i="3"/>
  <c r="AL41" i="3"/>
  <c r="AK41" i="3"/>
  <c r="AJ41" i="3"/>
  <c r="AI41" i="3"/>
  <c r="AH41" i="3"/>
  <c r="AG41" i="3"/>
  <c r="Z41" i="3"/>
  <c r="Y41" i="3"/>
  <c r="X41" i="3"/>
  <c r="K41" i="3"/>
  <c r="J41" i="3"/>
  <c r="I41" i="3"/>
  <c r="DX40" i="3"/>
  <c r="DW40" i="3"/>
  <c r="DV40" i="3"/>
  <c r="DO40" i="3"/>
  <c r="DN40" i="3"/>
  <c r="DM40" i="3"/>
  <c r="CZ40" i="3"/>
  <c r="CY40" i="3"/>
  <c r="CX40" i="3"/>
  <c r="BJ40" i="3"/>
  <c r="BI40" i="3"/>
  <c r="BH40" i="3"/>
  <c r="AX40" i="3"/>
  <c r="AK40" i="3"/>
  <c r="AH40" i="3"/>
  <c r="AG40" i="3"/>
  <c r="AG38" i="3" s="1"/>
  <c r="AE40" i="3"/>
  <c r="AE38" i="3" s="1"/>
  <c r="AD40" i="3"/>
  <c r="AD38" i="3" s="1"/>
  <c r="Z40" i="3"/>
  <c r="Y40" i="3"/>
  <c r="X40" i="3"/>
  <c r="K40" i="3"/>
  <c r="J40" i="3"/>
  <c r="I40" i="3"/>
  <c r="DX39" i="3"/>
  <c r="DW39" i="3"/>
  <c r="DV39" i="3"/>
  <c r="DO39" i="3"/>
  <c r="DN39" i="3"/>
  <c r="DM39" i="3"/>
  <c r="CZ39" i="3"/>
  <c r="CY39" i="3"/>
  <c r="CX39" i="3"/>
  <c r="BJ39" i="3"/>
  <c r="BI39" i="3"/>
  <c r="BH39" i="3"/>
  <c r="AX39" i="3"/>
  <c r="AV39" i="3"/>
  <c r="AK39" i="3"/>
  <c r="AH39" i="3"/>
  <c r="Z39" i="3"/>
  <c r="Y39" i="3"/>
  <c r="X39" i="3"/>
  <c r="K39" i="3"/>
  <c r="J39" i="3"/>
  <c r="I39" i="3"/>
  <c r="DU38" i="3"/>
  <c r="DT38" i="3"/>
  <c r="DS38" i="3"/>
  <c r="DR38" i="3"/>
  <c r="DQ38" i="3"/>
  <c r="DP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G38" i="3"/>
  <c r="BF38" i="3"/>
  <c r="BE38" i="3"/>
  <c r="BD38" i="3"/>
  <c r="BC38" i="3"/>
  <c r="BB38" i="3"/>
  <c r="BA38" i="3"/>
  <c r="AZ38" i="3"/>
  <c r="AY38" i="3"/>
  <c r="AU38" i="3"/>
  <c r="AT38" i="3"/>
  <c r="AS38" i="3"/>
  <c r="AR38" i="3"/>
  <c r="AQ38" i="3"/>
  <c r="AP38" i="3"/>
  <c r="AO38" i="3"/>
  <c r="AN38" i="3"/>
  <c r="AM38" i="3"/>
  <c r="AL38" i="3"/>
  <c r="AJ38" i="3"/>
  <c r="AI38" i="3"/>
  <c r="AF38" i="3"/>
  <c r="AC38" i="3"/>
  <c r="AB38" i="3"/>
  <c r="AA38" i="3"/>
  <c r="W38" i="3"/>
  <c r="V38" i="3"/>
  <c r="U38" i="3"/>
  <c r="T38" i="3"/>
  <c r="S38" i="3"/>
  <c r="R38" i="3"/>
  <c r="Q38" i="3"/>
  <c r="P38" i="3"/>
  <c r="O38" i="3"/>
  <c r="N38" i="3"/>
  <c r="M38" i="3"/>
  <c r="L38" i="3"/>
  <c r="H38" i="3"/>
  <c r="G38" i="3"/>
  <c r="F38" i="3"/>
  <c r="E38" i="3"/>
  <c r="D38" i="3"/>
  <c r="C38" i="3"/>
  <c r="DX37" i="3"/>
  <c r="DW37" i="3"/>
  <c r="DV37" i="3"/>
  <c r="DO37" i="3"/>
  <c r="DN37" i="3"/>
  <c r="DM37" i="3"/>
  <c r="CY37" i="3"/>
  <c r="CT37" i="3"/>
  <c r="CT23" i="3" s="1"/>
  <c r="CO37" i="3"/>
  <c r="CI37" i="3"/>
  <c r="BS37" i="3"/>
  <c r="BJ37" i="3"/>
  <c r="BI37" i="3"/>
  <c r="BH37" i="3"/>
  <c r="AT37" i="3"/>
  <c r="AQ37" i="3"/>
  <c r="AL37" i="3"/>
  <c r="AK37" i="3"/>
  <c r="AJ37" i="3"/>
  <c r="AI37" i="3"/>
  <c r="AG37" i="3"/>
  <c r="AE37" i="3"/>
  <c r="Z37" i="3"/>
  <c r="X37" i="3"/>
  <c r="M37" i="3"/>
  <c r="Y37" i="3" s="1"/>
  <c r="K37" i="3"/>
  <c r="J37" i="3"/>
  <c r="I37" i="3"/>
  <c r="DX36" i="3"/>
  <c r="DW36" i="3"/>
  <c r="DV36" i="3"/>
  <c r="DO36" i="3"/>
  <c r="DN36" i="3"/>
  <c r="DM36" i="3"/>
  <c r="CZ36" i="3"/>
  <c r="CY36" i="3"/>
  <c r="CX36" i="3"/>
  <c r="BJ36" i="3"/>
  <c r="BI36" i="3"/>
  <c r="BH36" i="3"/>
  <c r="AV36" i="3"/>
  <c r="AK36" i="3"/>
  <c r="AI36" i="3"/>
  <c r="AX36" i="3" s="1"/>
  <c r="AH36" i="3"/>
  <c r="AB36" i="3"/>
  <c r="Z36" i="3"/>
  <c r="Y36" i="3"/>
  <c r="X36" i="3"/>
  <c r="K36" i="3"/>
  <c r="J36" i="3"/>
  <c r="I36" i="3"/>
  <c r="DX35" i="3"/>
  <c r="DW35" i="3"/>
  <c r="DV35" i="3"/>
  <c r="DO35" i="3"/>
  <c r="DN35" i="3"/>
  <c r="DM35" i="3"/>
  <c r="CZ35" i="3"/>
  <c r="CY35" i="3"/>
  <c r="CX35" i="3"/>
  <c r="BJ35" i="3"/>
  <c r="BI35" i="3"/>
  <c r="BH35" i="3"/>
  <c r="AX35" i="3"/>
  <c r="AW35" i="3"/>
  <c r="AV35" i="3"/>
  <c r="Z35" i="3"/>
  <c r="Y35" i="3"/>
  <c r="X35" i="3"/>
  <c r="K35" i="3"/>
  <c r="J35" i="3"/>
  <c r="I35" i="3"/>
  <c r="DX34" i="3"/>
  <c r="DW34" i="3"/>
  <c r="DV34" i="3"/>
  <c r="DE34" i="3"/>
  <c r="DN34" i="3" s="1"/>
  <c r="DC34" i="3"/>
  <c r="DO34" i="3" s="1"/>
  <c r="DA34" i="3"/>
  <c r="DM34" i="3" s="1"/>
  <c r="CZ34" i="3"/>
  <c r="CY34" i="3"/>
  <c r="BQ34" i="3"/>
  <c r="CX34" i="3" s="1"/>
  <c r="BJ34" i="3"/>
  <c r="BI34" i="3"/>
  <c r="BH34" i="3"/>
  <c r="AK34" i="3"/>
  <c r="AI34" i="3"/>
  <c r="AH34" i="3"/>
  <c r="AG34" i="3"/>
  <c r="AF34" i="3"/>
  <c r="AD34" i="3"/>
  <c r="AC34" i="3"/>
  <c r="AB34" i="3"/>
  <c r="AA34" i="3"/>
  <c r="Y34" i="3"/>
  <c r="X34" i="3"/>
  <c r="T34" i="3"/>
  <c r="Z34" i="3" s="1"/>
  <c r="K34" i="3"/>
  <c r="J34" i="3"/>
  <c r="I34" i="3"/>
  <c r="DX33" i="3"/>
  <c r="DW33" i="3"/>
  <c r="DV33" i="3"/>
  <c r="DO33" i="3"/>
  <c r="DN33" i="3"/>
  <c r="DM33" i="3"/>
  <c r="CZ33" i="3"/>
  <c r="CY33" i="3"/>
  <c r="CX33" i="3"/>
  <c r="BJ33" i="3"/>
  <c r="BI33" i="3"/>
  <c r="BH33" i="3"/>
  <c r="AX33" i="3"/>
  <c r="AW33" i="3"/>
  <c r="AV33" i="3"/>
  <c r="Z33" i="3"/>
  <c r="Y33" i="3"/>
  <c r="X33" i="3"/>
  <c r="K33" i="3"/>
  <c r="J33" i="3"/>
  <c r="I33" i="3"/>
  <c r="DX32" i="3"/>
  <c r="DW32" i="3"/>
  <c r="DV32" i="3"/>
  <c r="DE32" i="3"/>
  <c r="DC32" i="3"/>
  <c r="DO32" i="3" s="1"/>
  <c r="DB32" i="3"/>
  <c r="DA32" i="3"/>
  <c r="DM32" i="3" s="1"/>
  <c r="CX32" i="3"/>
  <c r="CN32" i="3"/>
  <c r="BV32" i="3"/>
  <c r="BR32" i="3"/>
  <c r="CY32" i="3" s="1"/>
  <c r="BJ32" i="3"/>
  <c r="BI32" i="3"/>
  <c r="BH32" i="3"/>
  <c r="AQ32" i="3"/>
  <c r="AK32" i="3"/>
  <c r="AI32" i="3"/>
  <c r="AH32" i="3"/>
  <c r="AG32" i="3"/>
  <c r="AC32" i="3"/>
  <c r="AB32" i="3"/>
  <c r="AA32" i="3"/>
  <c r="Y32" i="3"/>
  <c r="Q32" i="3"/>
  <c r="N32" i="3"/>
  <c r="L32" i="3"/>
  <c r="X32" i="3" s="1"/>
  <c r="K32" i="3"/>
  <c r="I32" i="3"/>
  <c r="G32" i="3"/>
  <c r="J32" i="3" s="1"/>
  <c r="DX31" i="3"/>
  <c r="DW31" i="3"/>
  <c r="DV31" i="3"/>
  <c r="DO31" i="3"/>
  <c r="DB31" i="3"/>
  <c r="DN31" i="3" s="1"/>
  <c r="DA31" i="3"/>
  <c r="DM31" i="3" s="1"/>
  <c r="CS31" i="3"/>
  <c r="CO31" i="3"/>
  <c r="CN31" i="3"/>
  <c r="CM31" i="3"/>
  <c r="CM23" i="3" s="1"/>
  <c r="CB31" i="3"/>
  <c r="BY31" i="3"/>
  <c r="BX31" i="3"/>
  <c r="BS31" i="3"/>
  <c r="BR31" i="3"/>
  <c r="BQ31" i="3"/>
  <c r="BL31" i="3"/>
  <c r="BI31" i="3"/>
  <c r="BH31" i="3"/>
  <c r="BA31" i="3"/>
  <c r="BJ31" i="3" s="1"/>
  <c r="AT31" i="3"/>
  <c r="AL31" i="3"/>
  <c r="AK31" i="3"/>
  <c r="AI31" i="3"/>
  <c r="AH31" i="3"/>
  <c r="AG31" i="3"/>
  <c r="AF31" i="3"/>
  <c r="AE31" i="3"/>
  <c r="AD31" i="3"/>
  <c r="AC31" i="3"/>
  <c r="AB31" i="3"/>
  <c r="AA31" i="3"/>
  <c r="Y31" i="3"/>
  <c r="X31" i="3"/>
  <c r="Q31" i="3"/>
  <c r="N31" i="3"/>
  <c r="K31" i="3"/>
  <c r="J31" i="3"/>
  <c r="I31" i="3"/>
  <c r="DX30" i="3"/>
  <c r="DW30" i="3"/>
  <c r="DV30" i="3"/>
  <c r="DE30" i="3"/>
  <c r="DC30" i="3"/>
  <c r="DO30" i="3" s="1"/>
  <c r="DB30" i="3"/>
  <c r="DA30" i="3"/>
  <c r="DM30" i="3" s="1"/>
  <c r="CS30" i="3"/>
  <c r="CN30" i="3"/>
  <c r="CK30" i="3"/>
  <c r="CK23" i="3" s="1"/>
  <c r="CH30" i="3"/>
  <c r="CB30" i="3"/>
  <c r="BY30" i="3"/>
  <c r="BW30" i="3"/>
  <c r="BV30" i="3"/>
  <c r="BT30" i="3"/>
  <c r="BS30" i="3"/>
  <c r="BQ30" i="3"/>
  <c r="BL30" i="3"/>
  <c r="BH30" i="3"/>
  <c r="BG30" i="3"/>
  <c r="BJ30" i="3" s="1"/>
  <c r="BF30" i="3"/>
  <c r="BF23" i="3" s="1"/>
  <c r="BC30" i="3"/>
  <c r="AT30" i="3"/>
  <c r="AR30" i="3"/>
  <c r="AQ30" i="3"/>
  <c r="AP30" i="3"/>
  <c r="AO30" i="3"/>
  <c r="AN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Q30" i="3"/>
  <c r="O30" i="3"/>
  <c r="N30" i="3"/>
  <c r="M30" i="3"/>
  <c r="L30" i="3"/>
  <c r="K30" i="3"/>
  <c r="I30" i="3"/>
  <c r="G30" i="3"/>
  <c r="J30" i="3" s="1"/>
  <c r="DX29" i="3"/>
  <c r="DW29" i="3"/>
  <c r="DV29" i="3"/>
  <c r="DC29" i="3"/>
  <c r="DO29" i="3" s="1"/>
  <c r="DB29" i="3"/>
  <c r="DN29" i="3" s="1"/>
  <c r="DA29" i="3"/>
  <c r="DM29" i="3" s="1"/>
  <c r="CN29" i="3"/>
  <c r="CH29" i="3"/>
  <c r="CB29" i="3"/>
  <c r="CA29" i="3"/>
  <c r="CA23" i="3" s="1"/>
  <c r="BY29" i="3"/>
  <c r="BW29" i="3"/>
  <c r="BT29" i="3"/>
  <c r="BR29" i="3"/>
  <c r="BQ29" i="3"/>
  <c r="BM29" i="3"/>
  <c r="BK29" i="3"/>
  <c r="BJ29" i="3"/>
  <c r="BI29" i="3"/>
  <c r="BH29" i="3"/>
  <c r="AU29" i="3"/>
  <c r="AU23" i="3" s="1"/>
  <c r="AT29" i="3"/>
  <c r="AR29" i="3"/>
  <c r="AQ29" i="3"/>
  <c r="AP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Y29" i="3"/>
  <c r="Q29" i="3"/>
  <c r="N29" i="3"/>
  <c r="L29" i="3"/>
  <c r="X29" i="3" s="1"/>
  <c r="K29" i="3"/>
  <c r="I29" i="3"/>
  <c r="G29" i="3"/>
  <c r="J29" i="3" s="1"/>
  <c r="DX28" i="3"/>
  <c r="DW28" i="3"/>
  <c r="DV28" i="3"/>
  <c r="DE28" i="3"/>
  <c r="DC28" i="3"/>
  <c r="DO28" i="3" s="1"/>
  <c r="DB28" i="3"/>
  <c r="DA28" i="3"/>
  <c r="DM28" i="3" s="1"/>
  <c r="CS28" i="3"/>
  <c r="CN28" i="3"/>
  <c r="CH28" i="3"/>
  <c r="CB28" i="3"/>
  <c r="BY28" i="3"/>
  <c r="BX28" i="3"/>
  <c r="BW28" i="3"/>
  <c r="BV28" i="3"/>
  <c r="BT28" i="3"/>
  <c r="BS28" i="3"/>
  <c r="BR28" i="3"/>
  <c r="BQ28" i="3"/>
  <c r="BL28" i="3"/>
  <c r="BH28" i="3"/>
  <c r="BC28" i="3"/>
  <c r="BI28" i="3" s="1"/>
  <c r="BA28" i="3"/>
  <c r="BJ28" i="3" s="1"/>
  <c r="AT28" i="3"/>
  <c r="AR28" i="3"/>
  <c r="AQ28" i="3"/>
  <c r="AP28" i="3"/>
  <c r="AO28" i="3"/>
  <c r="AN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T28" i="3"/>
  <c r="Q28" i="3"/>
  <c r="O28" i="3"/>
  <c r="N28" i="3"/>
  <c r="M28" i="3"/>
  <c r="Y28" i="3" s="1"/>
  <c r="L28" i="3"/>
  <c r="K28" i="3"/>
  <c r="I28" i="3"/>
  <c r="G28" i="3"/>
  <c r="DX27" i="3"/>
  <c r="DW27" i="3"/>
  <c r="DV27" i="3"/>
  <c r="DO27" i="3"/>
  <c r="DN27" i="3"/>
  <c r="DA27" i="3"/>
  <c r="CZ27" i="3"/>
  <c r="CY27" i="3"/>
  <c r="BQ27" i="3"/>
  <c r="CX27" i="3" s="1"/>
  <c r="BJ27" i="3"/>
  <c r="BI27" i="3"/>
  <c r="BH27" i="3"/>
  <c r="AT27" i="3"/>
  <c r="AP27" i="3"/>
  <c r="AN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K27" i="3"/>
  <c r="J27" i="3"/>
  <c r="I27" i="3"/>
  <c r="DX26" i="3"/>
  <c r="DW26" i="3"/>
  <c r="DV26" i="3"/>
  <c r="DO26" i="3"/>
  <c r="DN26" i="3"/>
  <c r="DM26" i="3"/>
  <c r="CY26" i="3"/>
  <c r="CX26" i="3"/>
  <c r="BS26" i="3"/>
  <c r="CZ26" i="3" s="1"/>
  <c r="BI26" i="3"/>
  <c r="BH26" i="3"/>
  <c r="BA26" i="3"/>
  <c r="BJ26" i="3" s="1"/>
  <c r="AT26" i="3"/>
  <c r="AI26" i="3"/>
  <c r="AH26" i="3"/>
  <c r="AF26" i="3"/>
  <c r="AC26" i="3"/>
  <c r="AB26" i="3"/>
  <c r="AA26" i="3"/>
  <c r="AV26" i="3" s="1"/>
  <c r="Y26" i="3"/>
  <c r="T26" i="3"/>
  <c r="Q26" i="3"/>
  <c r="O26" i="3"/>
  <c r="X26" i="3" s="1"/>
  <c r="K26" i="3"/>
  <c r="J26" i="3"/>
  <c r="I26" i="3"/>
  <c r="DX25" i="3"/>
  <c r="DW25" i="3"/>
  <c r="DV25" i="3"/>
  <c r="DO25" i="3"/>
  <c r="DN25" i="3"/>
  <c r="DM25" i="3"/>
  <c r="CZ25" i="3"/>
  <c r="CY25" i="3"/>
  <c r="CX25" i="3"/>
  <c r="BJ25" i="3"/>
  <c r="BI25" i="3"/>
  <c r="BH25" i="3"/>
  <c r="AX25" i="3"/>
  <c r="AV25" i="3"/>
  <c r="AH25" i="3"/>
  <c r="AW25" i="3" s="1"/>
  <c r="Z25" i="3"/>
  <c r="Y25" i="3"/>
  <c r="X25" i="3"/>
  <c r="K25" i="3"/>
  <c r="J25" i="3"/>
  <c r="I25" i="3"/>
  <c r="DX24" i="3"/>
  <c r="DW24" i="3"/>
  <c r="DV24" i="3"/>
  <c r="DO24" i="3"/>
  <c r="DN24" i="3"/>
  <c r="DM24" i="3"/>
  <c r="CN24" i="3"/>
  <c r="BR24" i="3"/>
  <c r="BQ24" i="3"/>
  <c r="BL24" i="3"/>
  <c r="BK24" i="3"/>
  <c r="BI24" i="3"/>
  <c r="BH24" i="3"/>
  <c r="BA24" i="3"/>
  <c r="BJ24" i="3" s="1"/>
  <c r="AT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K24" i="3"/>
  <c r="I24" i="3"/>
  <c r="G24" i="3"/>
  <c r="J24" i="3" s="1"/>
  <c r="DU23" i="3"/>
  <c r="DT23" i="3"/>
  <c r="DS23" i="3"/>
  <c r="DR23" i="3"/>
  <c r="DQ23" i="3"/>
  <c r="DP23" i="3"/>
  <c r="DL23" i="3"/>
  <c r="DK23" i="3"/>
  <c r="DJ23" i="3"/>
  <c r="DI23" i="3"/>
  <c r="DH23" i="3"/>
  <c r="DG23" i="3"/>
  <c r="DF23" i="3"/>
  <c r="DD23" i="3"/>
  <c r="CW23" i="3"/>
  <c r="CV23" i="3"/>
  <c r="CU23" i="3"/>
  <c r="CR23" i="3"/>
  <c r="CQ23" i="3"/>
  <c r="CP23" i="3"/>
  <c r="CL23" i="3"/>
  <c r="CJ23" i="3"/>
  <c r="CG23" i="3"/>
  <c r="CF23" i="3"/>
  <c r="CE23" i="3"/>
  <c r="CD23" i="3"/>
  <c r="CC23" i="3"/>
  <c r="BZ23" i="3"/>
  <c r="BU23" i="3"/>
  <c r="BP23" i="3"/>
  <c r="BO23" i="3"/>
  <c r="BN23" i="3"/>
  <c r="BE23" i="3"/>
  <c r="BD23" i="3"/>
  <c r="BB23" i="3"/>
  <c r="AZ23" i="3"/>
  <c r="AY23" i="3"/>
  <c r="AS23" i="3"/>
  <c r="AM23" i="3"/>
  <c r="W23" i="3"/>
  <c r="V23" i="3"/>
  <c r="U23" i="3"/>
  <c r="S23" i="3"/>
  <c r="R23" i="3"/>
  <c r="P23" i="3"/>
  <c r="H23" i="3"/>
  <c r="F23" i="3"/>
  <c r="E23" i="3"/>
  <c r="D23" i="3"/>
  <c r="C23" i="3"/>
  <c r="DX22" i="3"/>
  <c r="DW22" i="3"/>
  <c r="DV22" i="3"/>
  <c r="DM22" i="3"/>
  <c r="DC22" i="3"/>
  <c r="DB22" i="3"/>
  <c r="DN22" i="3" s="1"/>
  <c r="CZ22" i="3"/>
  <c r="CS22" i="3"/>
  <c r="CO22" i="3"/>
  <c r="CX22" i="3" s="1"/>
  <c r="BR22" i="3"/>
  <c r="BO22" i="3"/>
  <c r="BL22" i="3"/>
  <c r="BH22" i="3"/>
  <c r="BD22" i="3"/>
  <c r="BJ22" i="3" s="1"/>
  <c r="BC22" i="3"/>
  <c r="AZ22" i="3"/>
  <c r="AT22" i="3"/>
  <c r="AR22" i="3"/>
  <c r="AQ22" i="3"/>
  <c r="AP22" i="3"/>
  <c r="AN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Y22" i="3"/>
  <c r="T22" i="3"/>
  <c r="Q22" i="3"/>
  <c r="O22" i="3"/>
  <c r="K22" i="3"/>
  <c r="G22" i="3"/>
  <c r="J22" i="3" s="1"/>
  <c r="C22" i="3"/>
  <c r="I22" i="3" s="1"/>
  <c r="DX21" i="3"/>
  <c r="DW21" i="3"/>
  <c r="DV21" i="3"/>
  <c r="DM21" i="3"/>
  <c r="DC21" i="3"/>
  <c r="DO21" i="3" s="1"/>
  <c r="DB21" i="3"/>
  <c r="DN21" i="3" s="1"/>
  <c r="CZ21" i="3"/>
  <c r="CS21" i="3"/>
  <c r="CO21" i="3"/>
  <c r="CF21" i="3"/>
  <c r="CF18" i="3" s="1"/>
  <c r="BR21" i="3"/>
  <c r="BO21" i="3"/>
  <c r="BI21" i="3"/>
  <c r="BH21" i="3"/>
  <c r="BD21" i="3"/>
  <c r="BA21" i="3"/>
  <c r="AT21" i="3"/>
  <c r="AR21" i="3"/>
  <c r="AQ21" i="3"/>
  <c r="AP21" i="3"/>
  <c r="AN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Y21" i="3"/>
  <c r="T21" i="3"/>
  <c r="Q21" i="3"/>
  <c r="O21" i="3"/>
  <c r="X21" i="3" s="1"/>
  <c r="K21" i="3"/>
  <c r="G21" i="3"/>
  <c r="J21" i="3" s="1"/>
  <c r="C21" i="3"/>
  <c r="I21" i="3" s="1"/>
  <c r="DX20" i="3"/>
  <c r="DW20" i="3"/>
  <c r="DV20" i="3"/>
  <c r="DO20" i="3"/>
  <c r="DN20" i="3"/>
  <c r="DM20" i="3"/>
  <c r="CZ20" i="3"/>
  <c r="CY20" i="3"/>
  <c r="CX20" i="3"/>
  <c r="BJ20" i="3"/>
  <c r="BI20" i="3"/>
  <c r="BH20" i="3"/>
  <c r="AR20" i="3"/>
  <c r="AQ20" i="3"/>
  <c r="AP20" i="3"/>
  <c r="AN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K20" i="3"/>
  <c r="J20" i="3"/>
  <c r="I20" i="3"/>
  <c r="DX19" i="3"/>
  <c r="DW19" i="3"/>
  <c r="DV19" i="3"/>
  <c r="DM19" i="3"/>
  <c r="DC19" i="3"/>
  <c r="DO19" i="3" s="1"/>
  <c r="DB19" i="3"/>
  <c r="DN19" i="3" s="1"/>
  <c r="CZ19" i="3"/>
  <c r="CX19" i="3"/>
  <c r="CS19" i="3"/>
  <c r="BO19" i="3"/>
  <c r="BL19" i="3"/>
  <c r="BH19" i="3"/>
  <c r="BD19" i="3"/>
  <c r="BC19" i="3"/>
  <c r="BA19" i="3"/>
  <c r="AZ19" i="3"/>
  <c r="AT19" i="3"/>
  <c r="AR19" i="3"/>
  <c r="AQ19" i="3"/>
  <c r="AP19" i="3"/>
  <c r="AN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Y19" i="3"/>
  <c r="T19" i="3"/>
  <c r="Q19" i="3"/>
  <c r="O19" i="3"/>
  <c r="X19" i="3" s="1"/>
  <c r="K19" i="3"/>
  <c r="G19" i="3"/>
  <c r="J19" i="3" s="1"/>
  <c r="C19" i="3"/>
  <c r="I19" i="3" s="1"/>
  <c r="DU18" i="3"/>
  <c r="DT18" i="3"/>
  <c r="DS18" i="3"/>
  <c r="DR18" i="3"/>
  <c r="DQ18" i="3"/>
  <c r="DP18" i="3"/>
  <c r="DL18" i="3"/>
  <c r="DK18" i="3"/>
  <c r="DJ18" i="3"/>
  <c r="DI18" i="3"/>
  <c r="DH18" i="3"/>
  <c r="DG18" i="3"/>
  <c r="DF18" i="3"/>
  <c r="DE18" i="3"/>
  <c r="DD18" i="3"/>
  <c r="DA18" i="3"/>
  <c r="CW18" i="3"/>
  <c r="CV18" i="3"/>
  <c r="CU18" i="3"/>
  <c r="CT18" i="3"/>
  <c r="CR18" i="3"/>
  <c r="CQ18" i="3"/>
  <c r="CP18" i="3"/>
  <c r="CN18" i="3"/>
  <c r="CM18" i="3"/>
  <c r="CL18" i="3"/>
  <c r="CK18" i="3"/>
  <c r="CJ18" i="3"/>
  <c r="CI18" i="3"/>
  <c r="CH18" i="3"/>
  <c r="CG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Q18" i="3"/>
  <c r="BP18" i="3"/>
  <c r="BN18" i="3"/>
  <c r="BM18" i="3"/>
  <c r="BK18" i="3"/>
  <c r="BG18" i="3"/>
  <c r="BF18" i="3"/>
  <c r="BE18" i="3"/>
  <c r="BB18" i="3"/>
  <c r="AY18" i="3"/>
  <c r="AU18" i="3"/>
  <c r="AS18" i="3"/>
  <c r="AO18" i="3"/>
  <c r="AM18" i="3"/>
  <c r="W18" i="3"/>
  <c r="V18" i="3"/>
  <c r="U18" i="3"/>
  <c r="S18" i="3"/>
  <c r="R18" i="3"/>
  <c r="P18" i="3"/>
  <c r="N18" i="3"/>
  <c r="M18" i="3"/>
  <c r="L18" i="3"/>
  <c r="H18" i="3"/>
  <c r="F18" i="3"/>
  <c r="E18" i="3"/>
  <c r="D18" i="3"/>
  <c r="DX17" i="3"/>
  <c r="DW17" i="3"/>
  <c r="DV17" i="3"/>
  <c r="DN17" i="3"/>
  <c r="DC17" i="3"/>
  <c r="DO17" i="3" s="1"/>
  <c r="DA17" i="3"/>
  <c r="DM17" i="3" s="1"/>
  <c r="CZ17" i="3"/>
  <c r="CX17" i="3"/>
  <c r="CS17" i="3"/>
  <c r="BO17" i="3"/>
  <c r="BI17" i="3"/>
  <c r="BH17" i="3"/>
  <c r="BD17" i="3"/>
  <c r="BA17" i="3"/>
  <c r="AT17" i="3"/>
  <c r="AR17" i="3"/>
  <c r="AQ17" i="3"/>
  <c r="AP17" i="3"/>
  <c r="AN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Y17" i="3"/>
  <c r="T17" i="3"/>
  <c r="T12" i="3" s="1"/>
  <c r="Q17" i="3"/>
  <c r="O17" i="3"/>
  <c r="X17" i="3" s="1"/>
  <c r="K17" i="3"/>
  <c r="I17" i="3"/>
  <c r="G17" i="3"/>
  <c r="DX16" i="3"/>
  <c r="DW16" i="3"/>
  <c r="DV16" i="3"/>
  <c r="DO16" i="3"/>
  <c r="DB16" i="3"/>
  <c r="DN16" i="3" s="1"/>
  <c r="DA16" i="3"/>
  <c r="DM16" i="3" s="1"/>
  <c r="CZ16" i="3"/>
  <c r="CX16" i="3"/>
  <c r="BL16" i="3"/>
  <c r="CY16" i="3" s="1"/>
  <c r="BH16" i="3"/>
  <c r="BD16" i="3"/>
  <c r="BC16" i="3"/>
  <c r="BC12" i="3" s="1"/>
  <c r="BA16" i="3"/>
  <c r="AN16" i="3"/>
  <c r="AK16" i="3"/>
  <c r="AI16" i="3"/>
  <c r="AH16" i="3"/>
  <c r="AG16" i="3"/>
  <c r="AF16" i="3"/>
  <c r="AC16" i="3"/>
  <c r="AB16" i="3"/>
  <c r="AA16" i="3"/>
  <c r="Z16" i="3"/>
  <c r="Y16" i="3"/>
  <c r="O16" i="3"/>
  <c r="X16" i="3" s="1"/>
  <c r="K16" i="3"/>
  <c r="J16" i="3"/>
  <c r="I16" i="3"/>
  <c r="DX15" i="3"/>
  <c r="DW15" i="3"/>
  <c r="DV15" i="3"/>
  <c r="DO15" i="3"/>
  <c r="DN15" i="3"/>
  <c r="DA15" i="3"/>
  <c r="CZ15" i="3"/>
  <c r="CY15" i="3"/>
  <c r="CX15" i="3"/>
  <c r="BJ15" i="3"/>
  <c r="BI15" i="3"/>
  <c r="BH15" i="3"/>
  <c r="AT15" i="3"/>
  <c r="AR15" i="3"/>
  <c r="AQ15" i="3"/>
  <c r="AP15" i="3"/>
  <c r="AN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Y15" i="3"/>
  <c r="Q15" i="3"/>
  <c r="Z15" i="3" s="1"/>
  <c r="O15" i="3"/>
  <c r="X15" i="3" s="1"/>
  <c r="K15" i="3"/>
  <c r="J15" i="3"/>
  <c r="I15" i="3"/>
  <c r="DX14" i="3"/>
  <c r="DW14" i="3"/>
  <c r="DV14" i="3"/>
  <c r="DO14" i="3"/>
  <c r="DB14" i="3"/>
  <c r="DN14" i="3" s="1"/>
  <c r="DA14" i="3"/>
  <c r="DM14" i="3" s="1"/>
  <c r="CZ14" i="3"/>
  <c r="CY14" i="3"/>
  <c r="CX14" i="3"/>
  <c r="BJ14" i="3"/>
  <c r="BI14" i="3"/>
  <c r="BH14" i="3"/>
  <c r="AQ14" i="3"/>
  <c r="AN14" i="3"/>
  <c r="AI14" i="3"/>
  <c r="AX14" i="3" s="1"/>
  <c r="AH14" i="3"/>
  <c r="AG14" i="3"/>
  <c r="AE14" i="3"/>
  <c r="AB14" i="3"/>
  <c r="Z14" i="3"/>
  <c r="Y14" i="3"/>
  <c r="X14" i="3"/>
  <c r="K14" i="3"/>
  <c r="I14" i="3"/>
  <c r="G14" i="3"/>
  <c r="D14" i="3"/>
  <c r="D12" i="3" s="1"/>
  <c r="DX13" i="3"/>
  <c r="DW13" i="3"/>
  <c r="DV13" i="3"/>
  <c r="DO13" i="3"/>
  <c r="DN13" i="3"/>
  <c r="DM13" i="3"/>
  <c r="CZ13" i="3"/>
  <c r="CX13" i="3"/>
  <c r="CS13" i="3"/>
  <c r="BO13" i="3"/>
  <c r="BJ13" i="3"/>
  <c r="BI13" i="3"/>
  <c r="BH13" i="3"/>
  <c r="AV13" i="3"/>
  <c r="AL13" i="3"/>
  <c r="AX13" i="3" s="1"/>
  <c r="AK13" i="3"/>
  <c r="Y13" i="3"/>
  <c r="Q13" i="3"/>
  <c r="Z13" i="3" s="1"/>
  <c r="O13" i="3"/>
  <c r="K13" i="3"/>
  <c r="J13" i="3"/>
  <c r="I13" i="3"/>
  <c r="DU12" i="3"/>
  <c r="DT12" i="3"/>
  <c r="DS12" i="3"/>
  <c r="DR12" i="3"/>
  <c r="DQ12" i="3"/>
  <c r="DP12" i="3"/>
  <c r="DL12" i="3"/>
  <c r="DK12" i="3"/>
  <c r="DJ12" i="3"/>
  <c r="DI12" i="3"/>
  <c r="DH12" i="3"/>
  <c r="DG12" i="3"/>
  <c r="DF12" i="3"/>
  <c r="DE12" i="3"/>
  <c r="DD12" i="3"/>
  <c r="CW12" i="3"/>
  <c r="CV12" i="3"/>
  <c r="CU12" i="3"/>
  <c r="CT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N12" i="3"/>
  <c r="BM12" i="3"/>
  <c r="BK12" i="3"/>
  <c r="BG12" i="3"/>
  <c r="BF12" i="3"/>
  <c r="BE12" i="3"/>
  <c r="BB12" i="3"/>
  <c r="AZ12" i="3"/>
  <c r="AY12" i="3"/>
  <c r="AU12" i="3"/>
  <c r="AS12" i="3"/>
  <c r="AO12" i="3"/>
  <c r="AM12" i="3"/>
  <c r="W12" i="3"/>
  <c r="V12" i="3"/>
  <c r="U12" i="3"/>
  <c r="S12" i="3"/>
  <c r="R12" i="3"/>
  <c r="P12" i="3"/>
  <c r="N12" i="3"/>
  <c r="M12" i="3"/>
  <c r="L12" i="3"/>
  <c r="H12" i="3"/>
  <c r="F12" i="3"/>
  <c r="E12" i="3"/>
  <c r="C12" i="3"/>
  <c r="DX11" i="3"/>
  <c r="DW11" i="3"/>
  <c r="DV11" i="3"/>
  <c r="DO11" i="3"/>
  <c r="DN11" i="3"/>
  <c r="DM11" i="3"/>
  <c r="CZ11" i="3"/>
  <c r="CY11" i="3"/>
  <c r="CX11" i="3"/>
  <c r="BJ11" i="3"/>
  <c r="BI11" i="3"/>
  <c r="BH11" i="3"/>
  <c r="AX11" i="3"/>
  <c r="AW11" i="3"/>
  <c r="AV11" i="3"/>
  <c r="Z11" i="3"/>
  <c r="Y11" i="3"/>
  <c r="X11" i="3"/>
  <c r="K11" i="3"/>
  <c r="J11" i="3"/>
  <c r="C11" i="3"/>
  <c r="I11" i="3" s="1"/>
  <c r="DX10" i="3"/>
  <c r="DW10" i="3"/>
  <c r="DV10" i="3"/>
  <c r="DO10" i="3"/>
  <c r="DN10" i="3"/>
  <c r="DM10" i="3"/>
  <c r="CZ10" i="3"/>
  <c r="CY10" i="3"/>
  <c r="CX10" i="3"/>
  <c r="BI10" i="3"/>
  <c r="BH10" i="3"/>
  <c r="BD10" i="3"/>
  <c r="BD9" i="3" s="1"/>
  <c r="BA10" i="3"/>
  <c r="BA9" i="3" s="1"/>
  <c r="AT10" i="3"/>
  <c r="AT9" i="3" s="1"/>
  <c r="AR10" i="3"/>
  <c r="AR9" i="3" s="1"/>
  <c r="AQ10" i="3"/>
  <c r="AQ9" i="3" s="1"/>
  <c r="AP10" i="3"/>
  <c r="AP9" i="3" s="1"/>
  <c r="AN10" i="3"/>
  <c r="AN9" i="3" s="1"/>
  <c r="AL10" i="3"/>
  <c r="AL9" i="3" s="1"/>
  <c r="AK10" i="3"/>
  <c r="AK9" i="3" s="1"/>
  <c r="AJ10" i="3"/>
  <c r="AJ9" i="3" s="1"/>
  <c r="AI10" i="3"/>
  <c r="AI9" i="3" s="1"/>
  <c r="AH10" i="3"/>
  <c r="AH9" i="3" s="1"/>
  <c r="AG10" i="3"/>
  <c r="AG9" i="3" s="1"/>
  <c r="AF10" i="3"/>
  <c r="AF9" i="3" s="1"/>
  <c r="AE10" i="3"/>
  <c r="AE9" i="3" s="1"/>
  <c r="AD10" i="3"/>
  <c r="AD9" i="3" s="1"/>
  <c r="AC10" i="3"/>
  <c r="AC9" i="3" s="1"/>
  <c r="AB10" i="3"/>
  <c r="AA10" i="3"/>
  <c r="AA9" i="3" s="1"/>
  <c r="Z10" i="3"/>
  <c r="Y10" i="3"/>
  <c r="X10" i="3"/>
  <c r="K10" i="3"/>
  <c r="J10" i="3"/>
  <c r="C10" i="3"/>
  <c r="I10" i="3" s="1"/>
  <c r="DU9" i="3"/>
  <c r="DT9" i="3"/>
  <c r="DS9" i="3"/>
  <c r="DR9" i="3"/>
  <c r="DQ9" i="3"/>
  <c r="DP9" i="3"/>
  <c r="DL9" i="3"/>
  <c r="DK9" i="3"/>
  <c r="DJ9" i="3"/>
  <c r="DI9" i="3"/>
  <c r="DH9" i="3"/>
  <c r="DG9" i="3"/>
  <c r="DF9" i="3"/>
  <c r="DE9" i="3"/>
  <c r="DD9" i="3"/>
  <c r="DC9" i="3"/>
  <c r="DB9" i="3"/>
  <c r="DA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G9" i="3"/>
  <c r="BF9" i="3"/>
  <c r="BE9" i="3"/>
  <c r="BC9" i="3"/>
  <c r="BB9" i="3"/>
  <c r="AZ9" i="3"/>
  <c r="AY9" i="3"/>
  <c r="AU9" i="3"/>
  <c r="AS9" i="3"/>
  <c r="AO9" i="3"/>
  <c r="AM9" i="3"/>
  <c r="W9" i="3"/>
  <c r="V9" i="3"/>
  <c r="U9" i="3"/>
  <c r="T9" i="3"/>
  <c r="S9" i="3"/>
  <c r="R9" i="3"/>
  <c r="Q9" i="3"/>
  <c r="P9" i="3"/>
  <c r="O9" i="3"/>
  <c r="N9" i="3"/>
  <c r="M9" i="3"/>
  <c r="L9" i="3"/>
  <c r="H9" i="3"/>
  <c r="G9" i="3"/>
  <c r="F9" i="3"/>
  <c r="E9" i="3"/>
  <c r="D9" i="3"/>
  <c r="C122" i="2" l="1"/>
  <c r="J65" i="2"/>
  <c r="F64" i="2"/>
  <c r="F65" i="2" s="1"/>
  <c r="F121" i="2"/>
  <c r="G89" i="2"/>
  <c r="G93" i="2" s="1"/>
  <c r="E93" i="2"/>
  <c r="E122" i="2" s="1"/>
  <c r="G122" i="2" s="1"/>
  <c r="F89" i="2"/>
  <c r="J93" i="2"/>
  <c r="G65" i="2"/>
  <c r="G64" i="2"/>
  <c r="H62" i="1"/>
  <c r="G33" i="1"/>
  <c r="C62" i="1"/>
  <c r="D43" i="1"/>
  <c r="D47" i="1" s="1"/>
  <c r="I43" i="1"/>
  <c r="G26" i="1"/>
  <c r="E43" i="1"/>
  <c r="DO22" i="5"/>
  <c r="DO68" i="5" s="1"/>
  <c r="CU22" i="5"/>
  <c r="BW63" i="5"/>
  <c r="BX42" i="5"/>
  <c r="AO63" i="5"/>
  <c r="CT63" i="5"/>
  <c r="AN8" i="5"/>
  <c r="S8" i="5"/>
  <c r="I63" i="5"/>
  <c r="AB63" i="5"/>
  <c r="BY17" i="5"/>
  <c r="AE22" i="5"/>
  <c r="R42" i="5"/>
  <c r="DE11" i="5"/>
  <c r="AB42" i="5"/>
  <c r="R46" i="5"/>
  <c r="EC49" i="5"/>
  <c r="BR17" i="5"/>
  <c r="BF22" i="5"/>
  <c r="BF68" i="5" s="1"/>
  <c r="I42" i="5"/>
  <c r="S49" i="5"/>
  <c r="P8" i="5"/>
  <c r="AA63" i="5"/>
  <c r="DK39" i="5"/>
  <c r="BX39" i="5"/>
  <c r="AB8" i="5"/>
  <c r="BX8" i="5"/>
  <c r="AC42" i="5"/>
  <c r="BY42" i="5"/>
  <c r="DU42" i="5"/>
  <c r="AC49" i="5"/>
  <c r="I8" i="5"/>
  <c r="CR39" i="5"/>
  <c r="CM22" i="5"/>
  <c r="DS29" i="5"/>
  <c r="DL46" i="5"/>
  <c r="CR46" i="5"/>
  <c r="J8" i="5"/>
  <c r="AM8" i="5"/>
  <c r="G22" i="5"/>
  <c r="G68" i="5" s="1"/>
  <c r="EC42" i="5"/>
  <c r="EC46" i="5"/>
  <c r="AB39" i="5"/>
  <c r="AO46" i="5"/>
  <c r="CT46" i="5"/>
  <c r="ED46" i="5"/>
  <c r="AB46" i="5"/>
  <c r="BX46" i="5"/>
  <c r="DT46" i="5"/>
  <c r="EB63" i="5"/>
  <c r="CM17" i="5"/>
  <c r="AM42" i="5"/>
  <c r="CR42" i="5"/>
  <c r="AA46" i="5"/>
  <c r="BW46" i="5"/>
  <c r="EG37" i="5"/>
  <c r="J49" i="5"/>
  <c r="AC8" i="5"/>
  <c r="BY8" i="5"/>
  <c r="CS18" i="5"/>
  <c r="AA42" i="5"/>
  <c r="DJ42" i="5"/>
  <c r="AB49" i="5"/>
  <c r="S46" i="5"/>
  <c r="AA49" i="5"/>
  <c r="Y55" i="5"/>
  <c r="CO22" i="5"/>
  <c r="CO68" i="5" s="1"/>
  <c r="DS8" i="5"/>
  <c r="DK42" i="5"/>
  <c r="J42" i="5"/>
  <c r="EG53" i="5"/>
  <c r="AA11" i="5"/>
  <c r="DT63" i="5"/>
  <c r="S63" i="5"/>
  <c r="AN63" i="5"/>
  <c r="CS63" i="5"/>
  <c r="BG68" i="5"/>
  <c r="BM68" i="5"/>
  <c r="R8" i="5"/>
  <c r="DT12" i="5"/>
  <c r="EF12" i="5" s="1"/>
  <c r="EA68" i="5"/>
  <c r="DH11" i="5"/>
  <c r="CR29" i="5"/>
  <c r="CR22" i="5" s="1"/>
  <c r="S39" i="5"/>
  <c r="AN39" i="5"/>
  <c r="CS39" i="5"/>
  <c r="EC39" i="5"/>
  <c r="I49" i="5"/>
  <c r="ED17" i="5"/>
  <c r="BB22" i="5"/>
  <c r="BB68" i="5" s="1"/>
  <c r="EC63" i="5"/>
  <c r="Z22" i="5"/>
  <c r="Z68" i="5" s="1"/>
  <c r="DH22" i="5"/>
  <c r="C22" i="5"/>
  <c r="C68" i="5" s="1"/>
  <c r="AT22" i="5"/>
  <c r="AT68" i="5" s="1"/>
  <c r="DU61" i="5"/>
  <c r="EG61" i="5" s="1"/>
  <c r="DV42" i="5"/>
  <c r="DV68" i="5" s="1"/>
  <c r="DT8" i="5"/>
  <c r="AA8" i="5"/>
  <c r="BW8" i="5"/>
  <c r="P22" i="5"/>
  <c r="AA39" i="5"/>
  <c r="BW39" i="5"/>
  <c r="ED49" i="5"/>
  <c r="CT17" i="5"/>
  <c r="AN27" i="5"/>
  <c r="EE41" i="5"/>
  <c r="DJ46" i="5"/>
  <c r="T46" i="5"/>
  <c r="DK49" i="5"/>
  <c r="DT49" i="5" s="1"/>
  <c r="CS55" i="5"/>
  <c r="DK63" i="5"/>
  <c r="CC68" i="5"/>
  <c r="S42" i="5"/>
  <c r="AN42" i="5"/>
  <c r="CS42" i="5"/>
  <c r="DL8" i="5"/>
  <c r="AU22" i="5"/>
  <c r="AU68" i="5" s="1"/>
  <c r="DT40" i="5"/>
  <c r="DT39" i="5" s="1"/>
  <c r="I46" i="5"/>
  <c r="EE60" i="5"/>
  <c r="AY68" i="5"/>
  <c r="BW11" i="5"/>
  <c r="DK11" i="5"/>
  <c r="BD22" i="5"/>
  <c r="BD68" i="5" s="1"/>
  <c r="J27" i="5"/>
  <c r="K49" i="5"/>
  <c r="BW55" i="5"/>
  <c r="ED63" i="5"/>
  <c r="CI68" i="5"/>
  <c r="H8" i="5"/>
  <c r="H68" i="5" s="1"/>
  <c r="CK68" i="5"/>
  <c r="I11" i="5"/>
  <c r="AB11" i="5"/>
  <c r="EE15" i="5"/>
  <c r="CR11" i="5"/>
  <c r="CA22" i="5"/>
  <c r="CA68" i="5" s="1"/>
  <c r="EB39" i="5"/>
  <c r="J11" i="5"/>
  <c r="EB11" i="5"/>
  <c r="CR17" i="5"/>
  <c r="N22" i="5"/>
  <c r="N68" i="5" s="1"/>
  <c r="AG22" i="5"/>
  <c r="AG68" i="5" s="1"/>
  <c r="DT30" i="5"/>
  <c r="T39" i="5"/>
  <c r="AO39" i="5"/>
  <c r="CT39" i="5"/>
  <c r="K63" i="5"/>
  <c r="AC63" i="5"/>
  <c r="BY63" i="5"/>
  <c r="DU63" i="5"/>
  <c r="K8" i="5"/>
  <c r="T8" i="5"/>
  <c r="AO8" i="5"/>
  <c r="EB17" i="5"/>
  <c r="EE37" i="5"/>
  <c r="EF43" i="5"/>
  <c r="EF48" i="5"/>
  <c r="T49" i="5"/>
  <c r="AO49" i="5"/>
  <c r="CT49" i="5"/>
  <c r="EG57" i="5"/>
  <c r="S55" i="5"/>
  <c r="EE66" i="5"/>
  <c r="DT14" i="5"/>
  <c r="AB17" i="5"/>
  <c r="BW17" i="5"/>
  <c r="EF19" i="5"/>
  <c r="R22" i="5"/>
  <c r="AM22" i="5"/>
  <c r="EF24" i="5"/>
  <c r="EE26" i="5"/>
  <c r="BY29" i="5"/>
  <c r="BY22" i="5" s="1"/>
  <c r="EB22" i="5"/>
  <c r="AC39" i="5"/>
  <c r="DS43" i="5"/>
  <c r="DS42" i="5" s="1"/>
  <c r="DK46" i="5"/>
  <c r="AM46" i="5"/>
  <c r="DU47" i="5"/>
  <c r="EG47" i="5" s="1"/>
  <c r="K46" i="5"/>
  <c r="AC46" i="5"/>
  <c r="BY46" i="5"/>
  <c r="M55" i="5"/>
  <c r="M68" i="5" s="1"/>
  <c r="EE59" i="5"/>
  <c r="J63" i="5"/>
  <c r="BX63" i="5"/>
  <c r="BE68" i="5"/>
  <c r="BK68" i="5"/>
  <c r="BQ68" i="5"/>
  <c r="DJ11" i="5"/>
  <c r="CS13" i="5"/>
  <c r="CS11" i="5" s="1"/>
  <c r="EC11" i="5"/>
  <c r="R11" i="5"/>
  <c r="DJ17" i="5"/>
  <c r="DQ22" i="5"/>
  <c r="DQ68" i="5" s="1"/>
  <c r="CT29" i="5"/>
  <c r="CT22" i="5" s="1"/>
  <c r="EG30" i="5"/>
  <c r="AN46" i="5"/>
  <c r="CS46" i="5"/>
  <c r="EB46" i="5"/>
  <c r="BX54" i="5"/>
  <c r="EF54" i="5" s="1"/>
  <c r="EC55" i="5"/>
  <c r="EG60" i="5"/>
  <c r="BX61" i="5"/>
  <c r="BX55" i="5" s="1"/>
  <c r="DJ63" i="5"/>
  <c r="DS63" i="5"/>
  <c r="CP22" i="5"/>
  <c r="CQ68" i="5"/>
  <c r="DT17" i="5"/>
  <c r="E22" i="5"/>
  <c r="E68" i="5" s="1"/>
  <c r="CG22" i="5"/>
  <c r="K42" i="5"/>
  <c r="EE10" i="5"/>
  <c r="AN17" i="5"/>
  <c r="DL17" i="5"/>
  <c r="AH22" i="5"/>
  <c r="AH68" i="5" s="1"/>
  <c r="EB42" i="5"/>
  <c r="DJ49" i="5"/>
  <c r="DS49" i="5" s="1"/>
  <c r="R49" i="5"/>
  <c r="AM49" i="5"/>
  <c r="CR49" i="5"/>
  <c r="EF57" i="5"/>
  <c r="EE58" i="5"/>
  <c r="DL63" i="5"/>
  <c r="R63" i="5"/>
  <c r="AM63" i="5"/>
  <c r="CR63" i="5"/>
  <c r="EE24" i="5"/>
  <c r="V68" i="5"/>
  <c r="BS68" i="5"/>
  <c r="CL68" i="5"/>
  <c r="DS11" i="5"/>
  <c r="EC17" i="5"/>
  <c r="CP17" i="5"/>
  <c r="AS22" i="5"/>
  <c r="AS68" i="5" s="1"/>
  <c r="DM22" i="5"/>
  <c r="CS27" i="5"/>
  <c r="EG35" i="5"/>
  <c r="BW42" i="5"/>
  <c r="EB49" i="5"/>
  <c r="EF33" i="5"/>
  <c r="EG38" i="5"/>
  <c r="DX42" i="5"/>
  <c r="DX68" i="5" s="1"/>
  <c r="AN49" i="5"/>
  <c r="CS49" i="5"/>
  <c r="DS46" i="5"/>
  <c r="ED22" i="5"/>
  <c r="O68" i="5"/>
  <c r="CE68" i="5"/>
  <c r="EE20" i="5"/>
  <c r="EF34" i="5"/>
  <c r="EF37" i="5"/>
  <c r="R39" i="5"/>
  <c r="AM39" i="5"/>
  <c r="BY40" i="5"/>
  <c r="BY39" i="5" s="1"/>
  <c r="EF41" i="5"/>
  <c r="EE50" i="5"/>
  <c r="EG54" i="5"/>
  <c r="BA55" i="5"/>
  <c r="AI68" i="5"/>
  <c r="EF15" i="5"/>
  <c r="ED11" i="5"/>
  <c r="R17" i="5"/>
  <c r="AM17" i="5"/>
  <c r="T17" i="5"/>
  <c r="AO17" i="5"/>
  <c r="CS21" i="5"/>
  <c r="BA22" i="5"/>
  <c r="EF26" i="5"/>
  <c r="EG33" i="5"/>
  <c r="EF44" i="5"/>
  <c r="EE48" i="5"/>
  <c r="EF50" i="5"/>
  <c r="EF62" i="5"/>
  <c r="EG64" i="5"/>
  <c r="EG66" i="5"/>
  <c r="EG32" i="5"/>
  <c r="EF58" i="5"/>
  <c r="EG62" i="5"/>
  <c r="AO11" i="5"/>
  <c r="DT13" i="5"/>
  <c r="T11" i="5"/>
  <c r="DT16" i="5"/>
  <c r="EE21" i="5"/>
  <c r="AA17" i="5"/>
  <c r="DU21" i="5"/>
  <c r="DU17" i="5" s="1"/>
  <c r="EG23" i="5"/>
  <c r="DJ22" i="5"/>
  <c r="J29" i="5"/>
  <c r="DK29" i="5"/>
  <c r="DK22" i="5" s="1"/>
  <c r="BX30" i="5"/>
  <c r="EF35" i="5"/>
  <c r="J38" i="5"/>
  <c r="EF38" i="5" s="1"/>
  <c r="K39" i="5"/>
  <c r="T42" i="5"/>
  <c r="AO42" i="5"/>
  <c r="CT42" i="5"/>
  <c r="ED44" i="5"/>
  <c r="ED42" i="5" s="1"/>
  <c r="EE51" i="5"/>
  <c r="ED55" i="5"/>
  <c r="EE65" i="5"/>
  <c r="EG27" i="5"/>
  <c r="EG34" i="5"/>
  <c r="EE47" i="5"/>
  <c r="EF60" i="5"/>
  <c r="Q68" i="5"/>
  <c r="CT11" i="5"/>
  <c r="EE14" i="5"/>
  <c r="BR11" i="5"/>
  <c r="EG15" i="5"/>
  <c r="BY11" i="5"/>
  <c r="K17" i="5"/>
  <c r="EG20" i="5"/>
  <c r="AC17" i="5"/>
  <c r="J17" i="5"/>
  <c r="BC22" i="5"/>
  <c r="BC68" i="5" s="1"/>
  <c r="EE23" i="5"/>
  <c r="AB22" i="5"/>
  <c r="K22" i="5"/>
  <c r="EE31" i="5"/>
  <c r="EC22" i="5"/>
  <c r="EG50" i="5"/>
  <c r="EE52" i="5"/>
  <c r="EG52" i="5"/>
  <c r="L55" i="5"/>
  <c r="L68" i="5" s="1"/>
  <c r="AA55" i="5"/>
  <c r="AO55" i="5"/>
  <c r="CT55" i="5"/>
  <c r="EF65" i="5"/>
  <c r="EF67" i="5"/>
  <c r="AC22" i="5"/>
  <c r="BY55" i="5"/>
  <c r="EG19" i="5"/>
  <c r="P17" i="5"/>
  <c r="AA22" i="5"/>
  <c r="EG25" i="5"/>
  <c r="EG26" i="5"/>
  <c r="EF31" i="5"/>
  <c r="EE32" i="5"/>
  <c r="EG36" i="5"/>
  <c r="W68" i="5"/>
  <c r="J40" i="5"/>
  <c r="J39" i="5" s="1"/>
  <c r="EE45" i="5"/>
  <c r="EG48" i="5"/>
  <c r="EF52" i="5"/>
  <c r="AB55" i="5"/>
  <c r="DT55" i="5"/>
  <c r="AN55" i="5"/>
  <c r="EF59" i="5"/>
  <c r="R55" i="5"/>
  <c r="AM55" i="5"/>
  <c r="EF66" i="5"/>
  <c r="CW68" i="5"/>
  <c r="DC68" i="5"/>
  <c r="DI68" i="5"/>
  <c r="EF10" i="5"/>
  <c r="EG12" i="5"/>
  <c r="AN11" i="5"/>
  <c r="AM11" i="5"/>
  <c r="EG16" i="5"/>
  <c r="AC11" i="5"/>
  <c r="T22" i="5"/>
  <c r="BX28" i="5"/>
  <c r="EE36" i="5"/>
  <c r="EE38" i="5"/>
  <c r="I39" i="5"/>
  <c r="EF45" i="5"/>
  <c r="DL49" i="5"/>
  <c r="DU49" i="5" s="1"/>
  <c r="EG51" i="5"/>
  <c r="EG65" i="5"/>
  <c r="EF25" i="5"/>
  <c r="EG45" i="5"/>
  <c r="EF53" i="5"/>
  <c r="U68" i="5"/>
  <c r="AZ68" i="5"/>
  <c r="BL68" i="5"/>
  <c r="CD68" i="5"/>
  <c r="CJ68" i="5"/>
  <c r="EG14" i="5"/>
  <c r="P11" i="5"/>
  <c r="BZ22" i="5"/>
  <c r="BZ68" i="5" s="1"/>
  <c r="AN28" i="5"/>
  <c r="EF36" i="5"/>
  <c r="ED39" i="5"/>
  <c r="DL42" i="5"/>
  <c r="EE44" i="5"/>
  <c r="EE53" i="5"/>
  <c r="EG56" i="5"/>
  <c r="T63" i="5"/>
  <c r="AQ8" i="4"/>
  <c r="AT22" i="4"/>
  <c r="AP37" i="4"/>
  <c r="N43" i="4"/>
  <c r="Y29" i="4"/>
  <c r="BD29" i="4" s="1"/>
  <c r="F43" i="4"/>
  <c r="H37" i="4"/>
  <c r="N17" i="4"/>
  <c r="AR17" i="4"/>
  <c r="Z37" i="4"/>
  <c r="BC57" i="4"/>
  <c r="AZ17" i="4"/>
  <c r="G8" i="4"/>
  <c r="AP8" i="4"/>
  <c r="BB37" i="4"/>
  <c r="X43" i="4"/>
  <c r="AJ11" i="4"/>
  <c r="H8" i="4"/>
  <c r="N11" i="4"/>
  <c r="AR11" i="4"/>
  <c r="Y8" i="4"/>
  <c r="Y33" i="4"/>
  <c r="BD33" i="4" s="1"/>
  <c r="BD12" i="4"/>
  <c r="BE14" i="4"/>
  <c r="BA37" i="4"/>
  <c r="Z8" i="4"/>
  <c r="Z11" i="4"/>
  <c r="BB11" i="4"/>
  <c r="Y17" i="4"/>
  <c r="H11" i="4"/>
  <c r="BE16" i="4"/>
  <c r="G41" i="4"/>
  <c r="X8" i="4"/>
  <c r="AZ8" i="4"/>
  <c r="BE12" i="4"/>
  <c r="BC9" i="4"/>
  <c r="G17" i="4"/>
  <c r="D11" i="4"/>
  <c r="D58" i="4" s="1"/>
  <c r="AM17" i="4"/>
  <c r="AM58" i="4" s="1"/>
  <c r="BE9" i="4"/>
  <c r="BD14" i="4"/>
  <c r="X17" i="4"/>
  <c r="L17" i="4"/>
  <c r="AZ41" i="4"/>
  <c r="T58" i="4"/>
  <c r="F17" i="4"/>
  <c r="AU58" i="4"/>
  <c r="BB8" i="4"/>
  <c r="BC15" i="4"/>
  <c r="AJ22" i="4"/>
  <c r="P37" i="4"/>
  <c r="BA41" i="4"/>
  <c r="BE57" i="4"/>
  <c r="BE26" i="4"/>
  <c r="BB41" i="4"/>
  <c r="H43" i="4"/>
  <c r="M8" i="4"/>
  <c r="Y28" i="4"/>
  <c r="BD28" i="4" s="1"/>
  <c r="Y41" i="4"/>
  <c r="AQ43" i="4"/>
  <c r="BA22" i="4"/>
  <c r="L11" i="4"/>
  <c r="AQ17" i="4"/>
  <c r="BB43" i="4"/>
  <c r="AQ49" i="4"/>
  <c r="Y11" i="4"/>
  <c r="BA11" i="4"/>
  <c r="M11" i="4"/>
  <c r="AP21" i="4"/>
  <c r="AP17" i="4" s="1"/>
  <c r="BC25" i="4"/>
  <c r="AP29" i="4"/>
  <c r="BC29" i="4" s="1"/>
  <c r="V22" i="4"/>
  <c r="V58" i="4" s="1"/>
  <c r="AR37" i="4"/>
  <c r="G49" i="4"/>
  <c r="BD21" i="4"/>
  <c r="BD30" i="4"/>
  <c r="Y37" i="4"/>
  <c r="X41" i="4"/>
  <c r="Y43" i="4"/>
  <c r="BE20" i="4"/>
  <c r="H41" i="4"/>
  <c r="Y49" i="4"/>
  <c r="AP11" i="4"/>
  <c r="X11" i="4"/>
  <c r="BE18" i="4"/>
  <c r="X49" i="4"/>
  <c r="AE58" i="4"/>
  <c r="AK58" i="4"/>
  <c r="AY58" i="4"/>
  <c r="AR8" i="4"/>
  <c r="BC13" i="4"/>
  <c r="Z22" i="4"/>
  <c r="AP43" i="4"/>
  <c r="E58" i="4"/>
  <c r="S58" i="4"/>
  <c r="BC19" i="4"/>
  <c r="Y27" i="4"/>
  <c r="BD27" i="4" s="1"/>
  <c r="AR43" i="4"/>
  <c r="O58" i="4"/>
  <c r="U58" i="4"/>
  <c r="AA58" i="4"/>
  <c r="BE13" i="4"/>
  <c r="BE15" i="4"/>
  <c r="BD18" i="4"/>
  <c r="BC20" i="4"/>
  <c r="BE24" i="4"/>
  <c r="X37" i="4"/>
  <c r="AZ37" i="4"/>
  <c r="BC12" i="4"/>
  <c r="BC14" i="4"/>
  <c r="BC16" i="4"/>
  <c r="BD20" i="4"/>
  <c r="BC23" i="4"/>
  <c r="AZ22" i="4"/>
  <c r="BB22" i="4"/>
  <c r="BD32" i="4"/>
  <c r="AQ37" i="4"/>
  <c r="BD39" i="4"/>
  <c r="I43" i="4"/>
  <c r="BC45" i="4"/>
  <c r="AR49" i="4"/>
  <c r="W58" i="4"/>
  <c r="AC58" i="4"/>
  <c r="AI58" i="4"/>
  <c r="AO58" i="4"/>
  <c r="AV58" i="4"/>
  <c r="BD23" i="4"/>
  <c r="BD24" i="4"/>
  <c r="BD25" i="4"/>
  <c r="BC28" i="4"/>
  <c r="BE33" i="4"/>
  <c r="K38" i="4"/>
  <c r="N38" i="4" s="1"/>
  <c r="BE38" i="4" s="1"/>
  <c r="BC51" i="4"/>
  <c r="BC52" i="4"/>
  <c r="F8" i="4"/>
  <c r="R58" i="4"/>
  <c r="AD58" i="4"/>
  <c r="AW58" i="4"/>
  <c r="BA8" i="4"/>
  <c r="BC18" i="4"/>
  <c r="BE21" i="4"/>
  <c r="AG22" i="4"/>
  <c r="AG58" i="4" s="1"/>
  <c r="Y31" i="4"/>
  <c r="BD31" i="4" s="1"/>
  <c r="I39" i="4"/>
  <c r="L39" i="4" s="1"/>
  <c r="BC39" i="4" s="1"/>
  <c r="BE45" i="4"/>
  <c r="Z43" i="4"/>
  <c r="K47" i="4"/>
  <c r="N47" i="4" s="1"/>
  <c r="BE47" i="4" s="1"/>
  <c r="AX58" i="4"/>
  <c r="BD13" i="4"/>
  <c r="AZ11" i="4"/>
  <c r="BC24" i="4"/>
  <c r="AR22" i="4"/>
  <c r="J36" i="4"/>
  <c r="M36" i="4" s="1"/>
  <c r="BD36" i="4" s="1"/>
  <c r="M42" i="4"/>
  <c r="M41" i="4" s="1"/>
  <c r="BD48" i="4"/>
  <c r="AZ49" i="4"/>
  <c r="BD15" i="4"/>
  <c r="BA17" i="4"/>
  <c r="BC26" i="4"/>
  <c r="Y26" i="4"/>
  <c r="BD26" i="4" s="1"/>
  <c r="AQ22" i="4"/>
  <c r="F37" i="4"/>
  <c r="AZ43" i="4"/>
  <c r="BC44" i="4"/>
  <c r="J45" i="4"/>
  <c r="M45" i="4" s="1"/>
  <c r="BD45" i="4" s="1"/>
  <c r="BA49" i="4"/>
  <c r="K55" i="4"/>
  <c r="N55" i="4" s="1"/>
  <c r="BE55" i="4" s="1"/>
  <c r="BD57" i="4"/>
  <c r="AF58" i="4"/>
  <c r="AL58" i="4"/>
  <c r="AQ11" i="4"/>
  <c r="BE19" i="4"/>
  <c r="BB17" i="4"/>
  <c r="P22" i="4"/>
  <c r="AP27" i="4"/>
  <c r="BE40" i="4"/>
  <c r="BD40" i="4"/>
  <c r="G43" i="4"/>
  <c r="BA43" i="4"/>
  <c r="BA12" i="3"/>
  <c r="K9" i="3"/>
  <c r="AT12" i="3"/>
  <c r="BJ42" i="3"/>
  <c r="CY59" i="3"/>
  <c r="DW59" i="3"/>
  <c r="DN38" i="3"/>
  <c r="BI38" i="3"/>
  <c r="EA62" i="3"/>
  <c r="AW59" i="3"/>
  <c r="Y9" i="3"/>
  <c r="CY29" i="3"/>
  <c r="AC12" i="3"/>
  <c r="BG23" i="3"/>
  <c r="BG63" i="3" s="1"/>
  <c r="CS12" i="3"/>
  <c r="C9" i="3"/>
  <c r="BJ38" i="3"/>
  <c r="DO38" i="3"/>
  <c r="DO59" i="3"/>
  <c r="CY24" i="3"/>
  <c r="CO23" i="3"/>
  <c r="DW45" i="3"/>
  <c r="AA51" i="3"/>
  <c r="DM38" i="3"/>
  <c r="DM42" i="3"/>
  <c r="BD12" i="3"/>
  <c r="DY25" i="3"/>
  <c r="C18" i="3"/>
  <c r="DX42" i="3"/>
  <c r="DN9" i="3"/>
  <c r="BI9" i="3"/>
  <c r="DZ62" i="3"/>
  <c r="AD23" i="3"/>
  <c r="CO18" i="3"/>
  <c r="BK23" i="3"/>
  <c r="BK63" i="3" s="1"/>
  <c r="Y59" i="3"/>
  <c r="AP23" i="3"/>
  <c r="DZ60" i="3"/>
  <c r="AX59" i="3"/>
  <c r="CZ59" i="3"/>
  <c r="DX59" i="3"/>
  <c r="CZ9" i="3"/>
  <c r="DX9" i="3"/>
  <c r="EA60" i="3"/>
  <c r="AQ12" i="3"/>
  <c r="AZ18" i="3"/>
  <c r="AZ63" i="3" s="1"/>
  <c r="BI59" i="3"/>
  <c r="CZ18" i="3"/>
  <c r="DX18" i="3"/>
  <c r="AH18" i="3"/>
  <c r="AR18" i="3"/>
  <c r="BI30" i="3"/>
  <c r="BI23" i="3" s="1"/>
  <c r="AX38" i="3"/>
  <c r="CZ38" i="3"/>
  <c r="EA53" i="3"/>
  <c r="CS23" i="3"/>
  <c r="AV37" i="3"/>
  <c r="AW39" i="3"/>
  <c r="DZ39" i="3" s="1"/>
  <c r="AK12" i="3"/>
  <c r="DN59" i="3"/>
  <c r="J9" i="3"/>
  <c r="AR23" i="3"/>
  <c r="BH38" i="3"/>
  <c r="BX23" i="3"/>
  <c r="BX63" i="3" s="1"/>
  <c r="DO9" i="3"/>
  <c r="Z9" i="3"/>
  <c r="CZ12" i="3"/>
  <c r="BL18" i="3"/>
  <c r="DW42" i="3"/>
  <c r="K46" i="3"/>
  <c r="BJ17" i="3"/>
  <c r="BY23" i="3"/>
  <c r="BY63" i="3" s="1"/>
  <c r="AX32" i="3"/>
  <c r="AF18" i="3"/>
  <c r="AX42" i="3"/>
  <c r="AL18" i="3"/>
  <c r="DN28" i="3"/>
  <c r="DY60" i="3"/>
  <c r="AV59" i="3"/>
  <c r="CX59" i="3"/>
  <c r="DV59" i="3"/>
  <c r="DY62" i="3"/>
  <c r="CW63" i="3"/>
  <c r="BS23" i="3"/>
  <c r="BS63" i="3" s="1"/>
  <c r="DV42" i="3"/>
  <c r="EA49" i="3"/>
  <c r="AK51" i="3"/>
  <c r="DB23" i="3"/>
  <c r="DV38" i="3"/>
  <c r="BV23" i="3"/>
  <c r="BV63" i="3" s="1"/>
  <c r="Y51" i="3"/>
  <c r="AO23" i="3"/>
  <c r="AO63" i="3" s="1"/>
  <c r="CX42" i="3"/>
  <c r="X30" i="3"/>
  <c r="BI22" i="3"/>
  <c r="Z46" i="3"/>
  <c r="J38" i="3"/>
  <c r="DU45" i="3"/>
  <c r="DU63" i="3" s="1"/>
  <c r="AV31" i="3"/>
  <c r="AX46" i="3"/>
  <c r="AX45" i="3" s="1"/>
  <c r="BI51" i="3"/>
  <c r="CX51" i="3"/>
  <c r="DV51" i="3"/>
  <c r="K51" i="3"/>
  <c r="CE63" i="3"/>
  <c r="DO42" i="3"/>
  <c r="AX51" i="3"/>
  <c r="CZ51" i="3"/>
  <c r="AK23" i="3"/>
  <c r="CN23" i="3"/>
  <c r="CN63" i="3" s="1"/>
  <c r="AN23" i="3"/>
  <c r="DN32" i="3"/>
  <c r="DZ33" i="3"/>
  <c r="AV40" i="3"/>
  <c r="AV38" i="3" s="1"/>
  <c r="J42" i="3"/>
  <c r="BH9" i="3"/>
  <c r="CX9" i="3"/>
  <c r="DV9" i="3"/>
  <c r="BA18" i="3"/>
  <c r="AV30" i="3"/>
  <c r="BL23" i="3"/>
  <c r="DN30" i="3"/>
  <c r="DO46" i="3"/>
  <c r="DO45" i="3" s="1"/>
  <c r="X51" i="3"/>
  <c r="BJ51" i="3"/>
  <c r="DW51" i="3"/>
  <c r="X59" i="3"/>
  <c r="BH59" i="3"/>
  <c r="DM59" i="3"/>
  <c r="DV18" i="3"/>
  <c r="L23" i="3"/>
  <c r="L63" i="3" s="1"/>
  <c r="AJ23" i="3"/>
  <c r="BR23" i="3"/>
  <c r="M23" i="3"/>
  <c r="CY38" i="3"/>
  <c r="DY47" i="3"/>
  <c r="AW54" i="3"/>
  <c r="DZ54" i="3" s="1"/>
  <c r="EA11" i="3"/>
  <c r="AE18" i="3"/>
  <c r="AN18" i="3"/>
  <c r="Z26" i="3"/>
  <c r="Z30" i="3"/>
  <c r="AK38" i="3"/>
  <c r="DM51" i="3"/>
  <c r="Z59" i="3"/>
  <c r="BJ59" i="3"/>
  <c r="Q12" i="3"/>
  <c r="AE12" i="3"/>
  <c r="AV41" i="3"/>
  <c r="DY41" i="3" s="1"/>
  <c r="CZ42" i="3"/>
  <c r="BP63" i="3"/>
  <c r="AV16" i="3"/>
  <c r="DY16" i="3" s="1"/>
  <c r="AN12" i="3"/>
  <c r="DW12" i="3"/>
  <c r="AF12" i="3"/>
  <c r="AP12" i="3"/>
  <c r="CZ32" i="3"/>
  <c r="EA35" i="3"/>
  <c r="X38" i="3"/>
  <c r="DX38" i="3"/>
  <c r="BI42" i="3"/>
  <c r="DV45" i="3"/>
  <c r="BJ10" i="3"/>
  <c r="BJ9" i="3" s="1"/>
  <c r="AH12" i="3"/>
  <c r="AV15" i="3"/>
  <c r="BO18" i="3"/>
  <c r="AW34" i="3"/>
  <c r="DZ34" i="3" s="1"/>
  <c r="DY36" i="3"/>
  <c r="AX37" i="3"/>
  <c r="DY57" i="3"/>
  <c r="BJ16" i="3"/>
  <c r="AB18" i="3"/>
  <c r="AJ18" i="3"/>
  <c r="AW32" i="3"/>
  <c r="I38" i="3"/>
  <c r="Z38" i="3"/>
  <c r="Z42" i="3"/>
  <c r="DZ57" i="3"/>
  <c r="CK63" i="3"/>
  <c r="DZ11" i="3"/>
  <c r="CA63" i="3"/>
  <c r="CG63" i="3"/>
  <c r="CM63" i="3"/>
  <c r="DC12" i="3"/>
  <c r="Z21" i="3"/>
  <c r="CX21" i="3"/>
  <c r="CX18" i="3" s="1"/>
  <c r="AC23" i="3"/>
  <c r="CX24" i="3"/>
  <c r="DW38" i="3"/>
  <c r="DN51" i="3"/>
  <c r="P63" i="3"/>
  <c r="AX31" i="3"/>
  <c r="BB63" i="3"/>
  <c r="DP63" i="3"/>
  <c r="AR12" i="3"/>
  <c r="CY17" i="3"/>
  <c r="DW18" i="3"/>
  <c r="AD18" i="3"/>
  <c r="AL23" i="3"/>
  <c r="CX28" i="3"/>
  <c r="CY30" i="3"/>
  <c r="Q23" i="3"/>
  <c r="AE23" i="3"/>
  <c r="N23" i="3"/>
  <c r="I12" i="3"/>
  <c r="CY9" i="3"/>
  <c r="DW9" i="3"/>
  <c r="DM9" i="3"/>
  <c r="AV19" i="3"/>
  <c r="DY19" i="3" s="1"/>
  <c r="AT18" i="3"/>
  <c r="DM18" i="3"/>
  <c r="AV20" i="3"/>
  <c r="DY20" i="3" s="1"/>
  <c r="Y18" i="3"/>
  <c r="AG18" i="3"/>
  <c r="AQ18" i="3"/>
  <c r="X28" i="3"/>
  <c r="CZ31" i="3"/>
  <c r="DY35" i="3"/>
  <c r="K38" i="3"/>
  <c r="BH42" i="3"/>
  <c r="AW42" i="3"/>
  <c r="DZ49" i="3"/>
  <c r="DO51" i="3"/>
  <c r="DZ53" i="3"/>
  <c r="EA55" i="3"/>
  <c r="K12" i="3"/>
  <c r="EA33" i="3"/>
  <c r="DI63" i="3"/>
  <c r="AW10" i="3"/>
  <c r="AW9" i="3" s="1"/>
  <c r="DX12" i="3"/>
  <c r="Y12" i="3"/>
  <c r="K18" i="3"/>
  <c r="T18" i="3"/>
  <c r="AP18" i="3"/>
  <c r="BH18" i="3"/>
  <c r="DE23" i="3"/>
  <c r="DE63" i="3" s="1"/>
  <c r="BW23" i="3"/>
  <c r="BW63" i="3" s="1"/>
  <c r="DX23" i="3"/>
  <c r="DZ35" i="3"/>
  <c r="I45" i="3"/>
  <c r="AV42" i="3"/>
  <c r="I46" i="3"/>
  <c r="EA47" i="3"/>
  <c r="DX45" i="3"/>
  <c r="Z51" i="3"/>
  <c r="V63" i="3"/>
  <c r="AU63" i="3"/>
  <c r="CJ63" i="3"/>
  <c r="DR63" i="3"/>
  <c r="AW14" i="3"/>
  <c r="AC18" i="3"/>
  <c r="AK18" i="3"/>
  <c r="AX20" i="3"/>
  <c r="EA20" i="3" s="1"/>
  <c r="DN18" i="3"/>
  <c r="AA18" i="3"/>
  <c r="AI18" i="3"/>
  <c r="CY21" i="3"/>
  <c r="AG23" i="3"/>
  <c r="BH23" i="3"/>
  <c r="AV27" i="3"/>
  <c r="T23" i="3"/>
  <c r="AQ23" i="3"/>
  <c r="AX34" i="3"/>
  <c r="EA34" i="3" s="1"/>
  <c r="AX41" i="3"/>
  <c r="EA41" i="3" s="1"/>
  <c r="X42" i="3"/>
  <c r="I42" i="3"/>
  <c r="DZ55" i="3"/>
  <c r="X45" i="3"/>
  <c r="DK63" i="3"/>
  <c r="AA12" i="3"/>
  <c r="AW15" i="3"/>
  <c r="DZ15" i="3" s="1"/>
  <c r="AT23" i="3"/>
  <c r="CB23" i="3"/>
  <c r="CB63" i="3" s="1"/>
  <c r="AW40" i="3"/>
  <c r="DZ40" i="3" s="1"/>
  <c r="Y42" i="3"/>
  <c r="AV51" i="3"/>
  <c r="CY51" i="3"/>
  <c r="BH51" i="3"/>
  <c r="DX51" i="3"/>
  <c r="J51" i="3"/>
  <c r="I51" i="3"/>
  <c r="AW26" i="3"/>
  <c r="DZ26" i="3" s="1"/>
  <c r="AB23" i="3"/>
  <c r="AV14" i="3"/>
  <c r="DY14" i="3" s="1"/>
  <c r="AG12" i="3"/>
  <c r="CY19" i="3"/>
  <c r="CS18" i="3"/>
  <c r="DV23" i="3"/>
  <c r="CY43" i="3"/>
  <c r="CY42" i="3" s="1"/>
  <c r="BU42" i="3"/>
  <c r="BU63" i="3" s="1"/>
  <c r="EA44" i="3"/>
  <c r="K42" i="3"/>
  <c r="H63" i="3"/>
  <c r="AB9" i="3"/>
  <c r="CD63" i="3"/>
  <c r="AX10" i="3"/>
  <c r="AX9" i="3" s="1"/>
  <c r="DV12" i="3"/>
  <c r="BH12" i="3"/>
  <c r="DM15" i="3"/>
  <c r="DM12" i="3" s="1"/>
  <c r="DA12" i="3"/>
  <c r="Z19" i="3"/>
  <c r="Q18" i="3"/>
  <c r="CY22" i="3"/>
  <c r="DM27" i="3"/>
  <c r="DM23" i="3" s="1"/>
  <c r="DA23" i="3"/>
  <c r="G23" i="3"/>
  <c r="J28" i="3"/>
  <c r="CX37" i="3"/>
  <c r="CI23" i="3"/>
  <c r="CI63" i="3" s="1"/>
  <c r="DO22" i="3"/>
  <c r="DO18" i="3" s="1"/>
  <c r="DC18" i="3"/>
  <c r="CZ29" i="3"/>
  <c r="BM23" i="3"/>
  <c r="BM63" i="3" s="1"/>
  <c r="K23" i="3"/>
  <c r="Y46" i="3"/>
  <c r="M45" i="3"/>
  <c r="Y45" i="3" s="1"/>
  <c r="DM46" i="3"/>
  <c r="DM45" i="3" s="1"/>
  <c r="DA45" i="3"/>
  <c r="CQ63" i="3"/>
  <c r="W63" i="3"/>
  <c r="DF63" i="3"/>
  <c r="DL63" i="3"/>
  <c r="X13" i="3"/>
  <c r="X12" i="3" s="1"/>
  <c r="O12" i="3"/>
  <c r="J17" i="3"/>
  <c r="G12" i="3"/>
  <c r="AA23" i="3"/>
  <c r="AV24" i="3"/>
  <c r="AI23" i="3"/>
  <c r="AF23" i="3"/>
  <c r="DS45" i="3"/>
  <c r="DS63" i="3" s="1"/>
  <c r="AH51" i="3"/>
  <c r="BI19" i="3"/>
  <c r="BC18" i="3"/>
  <c r="X22" i="3"/>
  <c r="O18" i="3"/>
  <c r="I23" i="3"/>
  <c r="CH23" i="3"/>
  <c r="CH63" i="3" s="1"/>
  <c r="DY33" i="3"/>
  <c r="J46" i="3"/>
  <c r="D45" i="3"/>
  <c r="J45" i="3" s="1"/>
  <c r="S63" i="3"/>
  <c r="G18" i="3"/>
  <c r="CX31" i="3"/>
  <c r="BQ23" i="3"/>
  <c r="BQ63" i="3" s="1"/>
  <c r="AW46" i="3"/>
  <c r="AW45" i="3" s="1"/>
  <c r="AB45" i="3"/>
  <c r="BL12" i="3"/>
  <c r="DQ63" i="3"/>
  <c r="DN12" i="3"/>
  <c r="AJ12" i="3"/>
  <c r="I18" i="3"/>
  <c r="BF63" i="3"/>
  <c r="DD63" i="3"/>
  <c r="DJ63" i="3"/>
  <c r="BO12" i="3"/>
  <c r="BR18" i="3"/>
  <c r="AW20" i="3"/>
  <c r="DZ20" i="3" s="1"/>
  <c r="AX22" i="3"/>
  <c r="AW22" i="3"/>
  <c r="O23" i="3"/>
  <c r="DC23" i="3"/>
  <c r="DW23" i="3"/>
  <c r="BJ23" i="3"/>
  <c r="AW27" i="3"/>
  <c r="DZ27" i="3" s="1"/>
  <c r="Z28" i="3"/>
  <c r="AX28" i="3"/>
  <c r="AV29" i="3"/>
  <c r="CX29" i="3"/>
  <c r="Y30" i="3"/>
  <c r="Y23" i="3" s="1"/>
  <c r="CZ30" i="3"/>
  <c r="Z31" i="3"/>
  <c r="AV32" i="3"/>
  <c r="DY32" i="3" s="1"/>
  <c r="CZ37" i="3"/>
  <c r="Y38" i="3"/>
  <c r="CX38" i="3"/>
  <c r="DZ44" i="3"/>
  <c r="X46" i="3"/>
  <c r="BI46" i="3"/>
  <c r="BI45" i="3" s="1"/>
  <c r="CY46" i="3"/>
  <c r="CY45" i="3" s="1"/>
  <c r="DY48" i="3"/>
  <c r="EA52" i="3"/>
  <c r="DY56" i="3"/>
  <c r="AW56" i="3"/>
  <c r="DZ56" i="3" s="1"/>
  <c r="EA58" i="3"/>
  <c r="BN63" i="3"/>
  <c r="BZ63" i="3"/>
  <c r="CF63" i="3"/>
  <c r="CL63" i="3"/>
  <c r="CR63" i="3"/>
  <c r="AV10" i="3"/>
  <c r="AV9" i="3" s="1"/>
  <c r="AW13" i="3"/>
  <c r="EA14" i="3"/>
  <c r="AX15" i="3"/>
  <c r="Z22" i="3"/>
  <c r="AW24" i="3"/>
  <c r="EA25" i="3"/>
  <c r="AX26" i="3"/>
  <c r="AW28" i="3"/>
  <c r="CZ28" i="3"/>
  <c r="BJ46" i="3"/>
  <c r="BJ45" i="3" s="1"/>
  <c r="DN46" i="3"/>
  <c r="DN45" i="3" s="1"/>
  <c r="AB51" i="3"/>
  <c r="AX24" i="3"/>
  <c r="AX27" i="3"/>
  <c r="EA27" i="3" s="1"/>
  <c r="AW29" i="3"/>
  <c r="DZ29" i="3" s="1"/>
  <c r="AW30" i="3"/>
  <c r="DY54" i="3"/>
  <c r="AX17" i="3"/>
  <c r="AW17" i="3"/>
  <c r="AW21" i="3"/>
  <c r="AV21" i="3"/>
  <c r="BT23" i="3"/>
  <c r="BT63" i="3" s="1"/>
  <c r="AX29" i="3"/>
  <c r="AX30" i="3"/>
  <c r="CY31" i="3"/>
  <c r="Z32" i="3"/>
  <c r="AW36" i="3"/>
  <c r="DZ36" i="3" s="1"/>
  <c r="DY43" i="3"/>
  <c r="E45" i="3"/>
  <c r="K45" i="3" s="1"/>
  <c r="N45" i="3"/>
  <c r="Z45" i="3" s="1"/>
  <c r="AC45" i="3"/>
  <c r="AV46" i="3"/>
  <c r="AV45" i="3" s="1"/>
  <c r="DY50" i="3"/>
  <c r="EA57" i="3"/>
  <c r="DY61" i="3"/>
  <c r="CT63" i="3"/>
  <c r="DH63" i="3"/>
  <c r="DT63" i="3"/>
  <c r="AW16" i="3"/>
  <c r="AV17" i="3"/>
  <c r="DY17" i="3" s="1"/>
  <c r="AL12" i="3"/>
  <c r="AX21" i="3"/>
  <c r="BJ21" i="3"/>
  <c r="BA23" i="3"/>
  <c r="AV34" i="3"/>
  <c r="DY34" i="3" s="1"/>
  <c r="EA48" i="3"/>
  <c r="DY52" i="3"/>
  <c r="DY53" i="3"/>
  <c r="DY58" i="3"/>
  <c r="DZ61" i="3"/>
  <c r="X9" i="3"/>
  <c r="J14" i="3"/>
  <c r="DO12" i="3"/>
  <c r="AX16" i="3"/>
  <c r="Z17" i="3"/>
  <c r="Z12" i="3" s="1"/>
  <c r="DB18" i="3"/>
  <c r="AH23" i="3"/>
  <c r="CZ24" i="3"/>
  <c r="AV28" i="3"/>
  <c r="CY28" i="3"/>
  <c r="Z29" i="3"/>
  <c r="AW31" i="3"/>
  <c r="AH38" i="3"/>
  <c r="AW41" i="3"/>
  <c r="DZ41" i="3" s="1"/>
  <c r="EA43" i="3"/>
  <c r="CZ46" i="3"/>
  <c r="CZ45" i="3" s="1"/>
  <c r="AW52" i="3"/>
  <c r="EA54" i="3"/>
  <c r="DZ58" i="3"/>
  <c r="CP63" i="3"/>
  <c r="CV63" i="3"/>
  <c r="DY11" i="3"/>
  <c r="CX12" i="3"/>
  <c r="AV22" i="3"/>
  <c r="BC23" i="3"/>
  <c r="CX30" i="3"/>
  <c r="EA36" i="3"/>
  <c r="AW37" i="3"/>
  <c r="DZ37" i="3" s="1"/>
  <c r="DY39" i="3"/>
  <c r="EA39" i="3"/>
  <c r="EA40" i="3"/>
  <c r="DN42" i="3"/>
  <c r="DY44" i="3"/>
  <c r="BH46" i="3"/>
  <c r="BH45" i="3" s="1"/>
  <c r="CX46" i="3"/>
  <c r="CX45" i="3" s="1"/>
  <c r="DZ47" i="3"/>
  <c r="DY49" i="3"/>
  <c r="EA50" i="3"/>
  <c r="DY55" i="3"/>
  <c r="EA56" i="3"/>
  <c r="EA61" i="3"/>
  <c r="EG9" i="5"/>
  <c r="DU8" i="5"/>
  <c r="DU11" i="5"/>
  <c r="EE13" i="5"/>
  <c r="EG10" i="5"/>
  <c r="EE16" i="5"/>
  <c r="EG13" i="5"/>
  <c r="DU22" i="5"/>
  <c r="EE25" i="5"/>
  <c r="EE27" i="5"/>
  <c r="CV68" i="5"/>
  <c r="DB68" i="5"/>
  <c r="DN68" i="5"/>
  <c r="DZ68" i="5"/>
  <c r="K11" i="5"/>
  <c r="EE12" i="5"/>
  <c r="AE17" i="5"/>
  <c r="DK17" i="5"/>
  <c r="DS18" i="5"/>
  <c r="DS17" i="5" s="1"/>
  <c r="AO22" i="5"/>
  <c r="EF23" i="5"/>
  <c r="BX29" i="5"/>
  <c r="DS30" i="5"/>
  <c r="EE30" i="5" s="1"/>
  <c r="EG31" i="5"/>
  <c r="DK55" i="5"/>
  <c r="K55" i="5"/>
  <c r="EG59" i="5"/>
  <c r="AC55" i="5"/>
  <c r="EF64" i="5"/>
  <c r="EG67" i="5"/>
  <c r="EF9" i="5"/>
  <c r="AE11" i="5"/>
  <c r="CG11" i="5"/>
  <c r="S22" i="5"/>
  <c r="Y22" i="5"/>
  <c r="EG24" i="5"/>
  <c r="EG28" i="5"/>
  <c r="EE35" i="5"/>
  <c r="DU40" i="5"/>
  <c r="DU39" i="5" s="1"/>
  <c r="DL39" i="5"/>
  <c r="EE19" i="5"/>
  <c r="CX68" i="5"/>
  <c r="DD68" i="5"/>
  <c r="DJ8" i="5"/>
  <c r="DP68" i="5"/>
  <c r="BX18" i="5"/>
  <c r="BX17" i="5" s="1"/>
  <c r="EG18" i="5"/>
  <c r="S20" i="5"/>
  <c r="S17" i="5" s="1"/>
  <c r="CS30" i="5"/>
  <c r="EF32" i="5"/>
  <c r="DM39" i="5"/>
  <c r="DJ40" i="5"/>
  <c r="DT42" i="5"/>
  <c r="EE54" i="5"/>
  <c r="I55" i="5"/>
  <c r="DJ55" i="5"/>
  <c r="DS56" i="5"/>
  <c r="DS55" i="5" s="1"/>
  <c r="EE57" i="5"/>
  <c r="T55" i="5"/>
  <c r="EE9" i="5"/>
  <c r="F68" i="5"/>
  <c r="X68" i="5"/>
  <c r="AD68" i="5"/>
  <c r="AJ68" i="5"/>
  <c r="AP68" i="5"/>
  <c r="AV68" i="5"/>
  <c r="BH68" i="5"/>
  <c r="BN68" i="5"/>
  <c r="BT68" i="5"/>
  <c r="CF68" i="5"/>
  <c r="CY68" i="5"/>
  <c r="DE68" i="5"/>
  <c r="DK8" i="5"/>
  <c r="DW68" i="5"/>
  <c r="DL11" i="5"/>
  <c r="BX14" i="5"/>
  <c r="BX11" i="5" s="1"/>
  <c r="S16" i="5"/>
  <c r="I17" i="5"/>
  <c r="DL22" i="5"/>
  <c r="CS29" i="5"/>
  <c r="EE33" i="5"/>
  <c r="EF51" i="5"/>
  <c r="EF56" i="5"/>
  <c r="J55" i="5"/>
  <c r="DL58" i="5"/>
  <c r="DU58" i="5" s="1"/>
  <c r="EG58" i="5" s="1"/>
  <c r="DR55" i="5"/>
  <c r="DR68" i="5" s="1"/>
  <c r="EE62" i="5"/>
  <c r="AK68" i="5"/>
  <c r="AQ68" i="5"/>
  <c r="AW68" i="5"/>
  <c r="BI68" i="5"/>
  <c r="BO68" i="5"/>
  <c r="BU68" i="5"/>
  <c r="I22" i="5"/>
  <c r="EG41" i="5"/>
  <c r="EG43" i="5"/>
  <c r="CR55" i="5"/>
  <c r="EE61" i="5"/>
  <c r="EE67" i="5"/>
  <c r="CN68" i="5"/>
  <c r="CZ68" i="5"/>
  <c r="DF68" i="5"/>
  <c r="D22" i="5"/>
  <c r="D68" i="5" s="1"/>
  <c r="DS28" i="5"/>
  <c r="EE28" i="5" s="1"/>
  <c r="EF47" i="5"/>
  <c r="J46" i="5"/>
  <c r="AF68" i="5"/>
  <c r="AL68" i="5"/>
  <c r="AR68" i="5"/>
  <c r="AX68" i="5"/>
  <c r="BJ68" i="5"/>
  <c r="BP68" i="5"/>
  <c r="BV68" i="5"/>
  <c r="CB68" i="5"/>
  <c r="CH68" i="5"/>
  <c r="CU68" i="5"/>
  <c r="DA68" i="5"/>
  <c r="DG68" i="5"/>
  <c r="DY68" i="5"/>
  <c r="DT28" i="5"/>
  <c r="BW29" i="5"/>
  <c r="EE34" i="5"/>
  <c r="EB55" i="5"/>
  <c r="EE64" i="5"/>
  <c r="BC32" i="4"/>
  <c r="BD10" i="4"/>
  <c r="N23" i="4"/>
  <c r="BE23" i="4" s="1"/>
  <c r="BD9" i="4"/>
  <c r="I10" i="4"/>
  <c r="C11" i="4"/>
  <c r="C58" i="4" s="1"/>
  <c r="F49" i="4"/>
  <c r="BD52" i="4"/>
  <c r="BE53" i="4"/>
  <c r="BE56" i="4"/>
  <c r="K29" i="4"/>
  <c r="N29" i="4" s="1"/>
  <c r="BE29" i="4" s="1"/>
  <c r="J38" i="4"/>
  <c r="G37" i="4"/>
  <c r="Z41" i="4"/>
  <c r="I41" i="4"/>
  <c r="L42" i="4"/>
  <c r="L41" i="4" s="1"/>
  <c r="M44" i="4"/>
  <c r="K52" i="4"/>
  <c r="N52" i="4" s="1"/>
  <c r="H49" i="4"/>
  <c r="BE54" i="4"/>
  <c r="N39" i="4"/>
  <c r="BE39" i="4" s="1"/>
  <c r="K10" i="4"/>
  <c r="H17" i="4"/>
  <c r="Z17" i="4"/>
  <c r="M19" i="4"/>
  <c r="M17" i="4" s="1"/>
  <c r="K28" i="4"/>
  <c r="N28" i="4" s="1"/>
  <c r="BE28" i="4" s="1"/>
  <c r="BC33" i="4"/>
  <c r="BD34" i="4"/>
  <c r="K48" i="4"/>
  <c r="N48" i="4" s="1"/>
  <c r="BE48" i="4" s="1"/>
  <c r="K30" i="4"/>
  <c r="N30" i="4" s="1"/>
  <c r="BE30" i="4" s="1"/>
  <c r="AS58" i="4"/>
  <c r="F11" i="4"/>
  <c r="F22" i="4"/>
  <c r="X22" i="4"/>
  <c r="BE25" i="4"/>
  <c r="BC40" i="4"/>
  <c r="K43" i="4"/>
  <c r="N50" i="4"/>
  <c r="BE50" i="4" s="1"/>
  <c r="J51" i="4"/>
  <c r="M51" i="4" s="1"/>
  <c r="BD51" i="4" s="1"/>
  <c r="BD16" i="4"/>
  <c r="L38" i="4"/>
  <c r="J8" i="4"/>
  <c r="AB58" i="4"/>
  <c r="AH58" i="4"/>
  <c r="AN58" i="4"/>
  <c r="AT58" i="4"/>
  <c r="G11" i="4"/>
  <c r="G22" i="4"/>
  <c r="K41" i="4"/>
  <c r="N42" i="4"/>
  <c r="N41" i="4" s="1"/>
  <c r="L43" i="4"/>
  <c r="BE44" i="4"/>
  <c r="BE46" i="4"/>
  <c r="AP49" i="4"/>
  <c r="L50" i="4"/>
  <c r="BC50" i="4" s="1"/>
  <c r="BB49" i="4"/>
  <c r="BC30" i="4"/>
  <c r="BE31" i="4"/>
  <c r="BD35" i="4"/>
  <c r="M50" i="4"/>
  <c r="BD50" i="4" s="1"/>
  <c r="H22" i="4"/>
  <c r="Z52" i="4"/>
  <c r="Z49" i="4" s="1"/>
  <c r="Q49" i="4"/>
  <c r="Q58" i="4" s="1"/>
  <c r="I31" i="4"/>
  <c r="K32" i="4"/>
  <c r="N32" i="4" s="1"/>
  <c r="BE32" i="4" s="1"/>
  <c r="I34" i="4"/>
  <c r="L34" i="4" s="1"/>
  <c r="BC34" i="4" s="1"/>
  <c r="BC35" i="4"/>
  <c r="I36" i="4"/>
  <c r="L36" i="4" s="1"/>
  <c r="BC36" i="4" s="1"/>
  <c r="K40" i="4"/>
  <c r="N40" i="4" s="1"/>
  <c r="BD46" i="4"/>
  <c r="J47" i="4"/>
  <c r="M47" i="4" s="1"/>
  <c r="BD47" i="4" s="1"/>
  <c r="BC48" i="4"/>
  <c r="K51" i="4"/>
  <c r="N51" i="4" s="1"/>
  <c r="BE51" i="4" s="1"/>
  <c r="J53" i="4"/>
  <c r="M53" i="4" s="1"/>
  <c r="BD53" i="4" s="1"/>
  <c r="BD54" i="4"/>
  <c r="J55" i="4"/>
  <c r="M55" i="4" s="1"/>
  <c r="BD55" i="4" s="1"/>
  <c r="BD56" i="4"/>
  <c r="K34" i="4"/>
  <c r="N34" i="4" s="1"/>
  <c r="BE34" i="4" s="1"/>
  <c r="BE35" i="4"/>
  <c r="K36" i="4"/>
  <c r="N36" i="4" s="1"/>
  <c r="BE36" i="4" s="1"/>
  <c r="I46" i="4"/>
  <c r="L46" i="4" s="1"/>
  <c r="BC46" i="4" s="1"/>
  <c r="BC47" i="4"/>
  <c r="BC53" i="4"/>
  <c r="I54" i="4"/>
  <c r="L54" i="4" s="1"/>
  <c r="BC54" i="4" s="1"/>
  <c r="BC55" i="4"/>
  <c r="I56" i="4"/>
  <c r="L56" i="4" s="1"/>
  <c r="BC56" i="4" s="1"/>
  <c r="K27" i="4"/>
  <c r="N27" i="4" s="1"/>
  <c r="BE27" i="4" s="1"/>
  <c r="EA13" i="3"/>
  <c r="I9" i="3"/>
  <c r="U63" i="3"/>
  <c r="AM63" i="3"/>
  <c r="AS63" i="3"/>
  <c r="AY63" i="3"/>
  <c r="BE63" i="3"/>
  <c r="CC63" i="3"/>
  <c r="CU63" i="3"/>
  <c r="DG63" i="3"/>
  <c r="AB12" i="3"/>
  <c r="DB12" i="3"/>
  <c r="BD18" i="3"/>
  <c r="BJ19" i="3"/>
  <c r="F63" i="3"/>
  <c r="R63" i="3"/>
  <c r="AI12" i="3"/>
  <c r="CY13" i="3"/>
  <c r="BI16" i="3"/>
  <c r="DZ25" i="3"/>
  <c r="DZ48" i="3"/>
  <c r="AD12" i="3"/>
  <c r="AX19" i="3"/>
  <c r="J18" i="3"/>
  <c r="AW19" i="3"/>
  <c r="DZ50" i="3"/>
  <c r="DY26" i="3"/>
  <c r="DO23" i="3"/>
  <c r="K59" i="3"/>
  <c r="I59" i="3"/>
  <c r="J59" i="3"/>
  <c r="F93" i="2" l="1"/>
  <c r="F123" i="2" s="1"/>
  <c r="E123" i="2"/>
  <c r="G123" i="2" s="1"/>
  <c r="J122" i="2"/>
  <c r="D61" i="1"/>
  <c r="D62" i="1"/>
  <c r="G43" i="1"/>
  <c r="E47" i="1"/>
  <c r="F43" i="1"/>
  <c r="F47" i="1" s="1"/>
  <c r="I47" i="1"/>
  <c r="AN22" i="5"/>
  <c r="AN68" i="5" s="1"/>
  <c r="EF46" i="5"/>
  <c r="EF49" i="5"/>
  <c r="EF42" i="5"/>
  <c r="CG68" i="5"/>
  <c r="DH68" i="5"/>
  <c r="EF40" i="5"/>
  <c r="EF39" i="5" s="1"/>
  <c r="BR68" i="5"/>
  <c r="CM68" i="5"/>
  <c r="CS17" i="5"/>
  <c r="EE63" i="5"/>
  <c r="AE68" i="5"/>
  <c r="EE46" i="5"/>
  <c r="J22" i="5"/>
  <c r="J68" i="5" s="1"/>
  <c r="Y68" i="5"/>
  <c r="DT29" i="5"/>
  <c r="DT22" i="5" s="1"/>
  <c r="AA68" i="5"/>
  <c r="ED68" i="5"/>
  <c r="EF27" i="5"/>
  <c r="P68" i="5"/>
  <c r="EG21" i="5"/>
  <c r="EG17" i="5" s="1"/>
  <c r="DU46" i="5"/>
  <c r="EG44" i="5"/>
  <c r="EG42" i="5" s="1"/>
  <c r="BX22" i="5"/>
  <c r="BX68" i="5" s="1"/>
  <c r="AB68" i="5"/>
  <c r="DM68" i="5"/>
  <c r="EE29" i="5"/>
  <c r="EE22" i="5" s="1"/>
  <c r="EF8" i="5"/>
  <c r="EE43" i="5"/>
  <c r="EE42" i="5" s="1"/>
  <c r="EF13" i="5"/>
  <c r="EG46" i="5"/>
  <c r="T68" i="5"/>
  <c r="EE11" i="5"/>
  <c r="CT68" i="5"/>
  <c r="EF61" i="5"/>
  <c r="EF55" i="5" s="1"/>
  <c r="EG11" i="5"/>
  <c r="EE56" i="5"/>
  <c r="EE55" i="5" s="1"/>
  <c r="AM68" i="5"/>
  <c r="CP68" i="5"/>
  <c r="R68" i="5"/>
  <c r="EF21" i="5"/>
  <c r="CR68" i="5"/>
  <c r="BY68" i="5"/>
  <c r="CS22" i="5"/>
  <c r="DK68" i="5"/>
  <c r="EF30" i="5"/>
  <c r="EG29" i="5"/>
  <c r="EG22" i="5" s="1"/>
  <c r="BA68" i="5"/>
  <c r="DL55" i="5"/>
  <c r="DL68" i="5" s="1"/>
  <c r="I68" i="5"/>
  <c r="EE8" i="5"/>
  <c r="EG49" i="5"/>
  <c r="DT11" i="5"/>
  <c r="EF16" i="5"/>
  <c r="AO68" i="5"/>
  <c r="EG55" i="5"/>
  <c r="EC68" i="5"/>
  <c r="DU55" i="5"/>
  <c r="EF63" i="5"/>
  <c r="EG63" i="5"/>
  <c r="AC68" i="5"/>
  <c r="EG40" i="5"/>
  <c r="EG39" i="5" s="1"/>
  <c r="K68" i="5"/>
  <c r="EE49" i="5"/>
  <c r="BE43" i="4"/>
  <c r="BC21" i="4"/>
  <c r="BC17" i="4" s="1"/>
  <c r="AJ58" i="4"/>
  <c r="AP22" i="4"/>
  <c r="AP58" i="4" s="1"/>
  <c r="L37" i="4"/>
  <c r="BE17" i="4"/>
  <c r="J22" i="4"/>
  <c r="AQ58" i="4"/>
  <c r="K37" i="4"/>
  <c r="X58" i="4"/>
  <c r="BC43" i="4"/>
  <c r="G58" i="4"/>
  <c r="BD42" i="4"/>
  <c r="BD41" i="4" s="1"/>
  <c r="Y22" i="4"/>
  <c r="Y58" i="4" s="1"/>
  <c r="BE11" i="4"/>
  <c r="M43" i="4"/>
  <c r="BD44" i="4"/>
  <c r="BD43" i="4" s="1"/>
  <c r="AR58" i="4"/>
  <c r="BD11" i="4"/>
  <c r="M22" i="4"/>
  <c r="P58" i="4"/>
  <c r="Z58" i="4"/>
  <c r="AZ58" i="4"/>
  <c r="N37" i="4"/>
  <c r="BC27" i="4"/>
  <c r="BB58" i="4"/>
  <c r="BC42" i="4"/>
  <c r="BC41" i="4" s="1"/>
  <c r="BE42" i="4"/>
  <c r="BE41" i="4" s="1"/>
  <c r="BD19" i="4"/>
  <c r="BD17" i="4" s="1"/>
  <c r="BC38" i="4"/>
  <c r="BC37" i="4" s="1"/>
  <c r="BD22" i="4"/>
  <c r="BE52" i="4"/>
  <c r="BE49" i="4" s="1"/>
  <c r="F58" i="4"/>
  <c r="J43" i="4"/>
  <c r="BC11" i="4"/>
  <c r="I37" i="4"/>
  <c r="H58" i="4"/>
  <c r="BD49" i="4"/>
  <c r="BC49" i="4"/>
  <c r="BA58" i="4"/>
  <c r="C63" i="3"/>
  <c r="BD63" i="3"/>
  <c r="AT63" i="3"/>
  <c r="DZ24" i="3"/>
  <c r="AR63" i="3"/>
  <c r="EA26" i="3"/>
  <c r="DZ59" i="3"/>
  <c r="DZ32" i="3"/>
  <c r="CO63" i="3"/>
  <c r="AN63" i="3"/>
  <c r="X23" i="3"/>
  <c r="DZ31" i="3"/>
  <c r="DY31" i="3"/>
  <c r="CY12" i="3"/>
  <c r="Z18" i="3"/>
  <c r="DY40" i="3"/>
  <c r="DY38" i="3" s="1"/>
  <c r="BA63" i="3"/>
  <c r="EA37" i="3"/>
  <c r="AL63" i="3"/>
  <c r="DZ14" i="3"/>
  <c r="DZ21" i="3"/>
  <c r="EA32" i="3"/>
  <c r="BJ12" i="3"/>
  <c r="EA42" i="3"/>
  <c r="EA59" i="3"/>
  <c r="DY37" i="3"/>
  <c r="BC63" i="3"/>
  <c r="AQ63" i="3"/>
  <c r="AJ63" i="3"/>
  <c r="T63" i="3"/>
  <c r="CS63" i="3"/>
  <c r="DZ43" i="3"/>
  <c r="DZ42" i="3" s="1"/>
  <c r="DV63" i="3"/>
  <c r="EA31" i="3"/>
  <c r="AK63" i="3"/>
  <c r="DY24" i="3"/>
  <c r="O63" i="3"/>
  <c r="DY59" i="3"/>
  <c r="EA28" i="3"/>
  <c r="DX63" i="3"/>
  <c r="Y63" i="3"/>
  <c r="DC63" i="3"/>
  <c r="DA63" i="3"/>
  <c r="AW51" i="3"/>
  <c r="CY23" i="3"/>
  <c r="BJ18" i="3"/>
  <c r="EA16" i="3"/>
  <c r="DW63" i="3"/>
  <c r="BL63" i="3"/>
  <c r="BI18" i="3"/>
  <c r="AA63" i="3"/>
  <c r="CX23" i="3"/>
  <c r="CX63" i="3" s="1"/>
  <c r="EA24" i="3"/>
  <c r="AP63" i="3"/>
  <c r="AE63" i="3"/>
  <c r="Z23" i="3"/>
  <c r="DN23" i="3"/>
  <c r="DN63" i="3" s="1"/>
  <c r="BR63" i="3"/>
  <c r="Q63" i="3"/>
  <c r="AI63" i="3"/>
  <c r="AV18" i="3"/>
  <c r="AW38" i="3"/>
  <c r="CZ23" i="3"/>
  <c r="CZ63" i="3" s="1"/>
  <c r="AD63" i="3"/>
  <c r="DZ28" i="3"/>
  <c r="DZ38" i="3"/>
  <c r="DY42" i="3"/>
  <c r="DY13" i="3"/>
  <c r="BO63" i="3"/>
  <c r="AV23" i="3"/>
  <c r="EA30" i="3"/>
  <c r="M63" i="3"/>
  <c r="AF63" i="3"/>
  <c r="DZ10" i="3"/>
  <c r="DZ9" i="3" s="1"/>
  <c r="DZ22" i="3"/>
  <c r="DY30" i="3"/>
  <c r="DB63" i="3"/>
  <c r="DY10" i="3"/>
  <c r="DY9" i="3" s="1"/>
  <c r="AH63" i="3"/>
  <c r="AG63" i="3"/>
  <c r="AC63" i="3"/>
  <c r="AW12" i="3"/>
  <c r="DO63" i="3"/>
  <c r="G63" i="3"/>
  <c r="BH63" i="3"/>
  <c r="DY51" i="3"/>
  <c r="DY15" i="3"/>
  <c r="EA21" i="3"/>
  <c r="AX23" i="3"/>
  <c r="DY29" i="3"/>
  <c r="EA46" i="3"/>
  <c r="EA45" i="3" s="1"/>
  <c r="DY22" i="3"/>
  <c r="DM63" i="3"/>
  <c r="N63" i="3"/>
  <c r="EA17" i="3"/>
  <c r="AB63" i="3"/>
  <c r="AW23" i="3"/>
  <c r="AX12" i="3"/>
  <c r="J23" i="3"/>
  <c r="K63" i="3"/>
  <c r="EA29" i="3"/>
  <c r="E63" i="3"/>
  <c r="DZ17" i="3"/>
  <c r="DZ46" i="3"/>
  <c r="DZ45" i="3" s="1"/>
  <c r="I63" i="3"/>
  <c r="DY46" i="3"/>
  <c r="DY45" i="3" s="1"/>
  <c r="EA51" i="3"/>
  <c r="DY21" i="3"/>
  <c r="X18" i="3"/>
  <c r="DY28" i="3"/>
  <c r="EA10" i="3"/>
  <c r="EA9" i="3" s="1"/>
  <c r="D63" i="3"/>
  <c r="DZ30" i="3"/>
  <c r="CY18" i="3"/>
  <c r="EA15" i="3"/>
  <c r="EA38" i="3"/>
  <c r="DY27" i="3"/>
  <c r="AW18" i="3"/>
  <c r="DZ52" i="3"/>
  <c r="DZ51" i="3" s="1"/>
  <c r="AX18" i="3"/>
  <c r="J12" i="3"/>
  <c r="AV12" i="3"/>
  <c r="DZ16" i="3"/>
  <c r="BI12" i="3"/>
  <c r="EA22" i="3"/>
  <c r="DS22" i="5"/>
  <c r="EF20" i="5"/>
  <c r="DS40" i="5"/>
  <c r="DJ39" i="5"/>
  <c r="DJ68" i="5" s="1"/>
  <c r="BW22" i="5"/>
  <c r="BW68" i="5" s="1"/>
  <c r="EF14" i="5"/>
  <c r="EF28" i="5"/>
  <c r="EB68" i="5"/>
  <c r="EG8" i="5"/>
  <c r="EF18" i="5"/>
  <c r="EE18" i="5"/>
  <c r="EE17" i="5" s="1"/>
  <c r="S11" i="5"/>
  <c r="S68" i="5" s="1"/>
  <c r="M38" i="4"/>
  <c r="J37" i="4"/>
  <c r="L10" i="4"/>
  <c r="I8" i="4"/>
  <c r="J49" i="4"/>
  <c r="K49" i="4"/>
  <c r="BE37" i="4"/>
  <c r="N10" i="4"/>
  <c r="K8" i="4"/>
  <c r="M49" i="4"/>
  <c r="I49" i="4"/>
  <c r="N49" i="4"/>
  <c r="BD8" i="4"/>
  <c r="N22" i="4"/>
  <c r="L31" i="4"/>
  <c r="I22" i="4"/>
  <c r="L49" i="4"/>
  <c r="BE22" i="4"/>
  <c r="K22" i="4"/>
  <c r="DZ19" i="3"/>
  <c r="EA19" i="3"/>
  <c r="DZ13" i="3"/>
  <c r="F122" i="2" l="1"/>
  <c r="I62" i="1"/>
  <c r="I61" i="1"/>
  <c r="F62" i="1"/>
  <c r="F61" i="1"/>
  <c r="G47" i="1"/>
  <c r="E62" i="1"/>
  <c r="G62" i="1" s="1"/>
  <c r="E61" i="1"/>
  <c r="G61" i="1" s="1"/>
  <c r="CS68" i="5"/>
  <c r="EF29" i="5"/>
  <c r="EF22" i="5" s="1"/>
  <c r="DU68" i="5"/>
  <c r="DT68" i="5"/>
  <c r="EF11" i="5"/>
  <c r="EF17" i="5"/>
  <c r="J58" i="4"/>
  <c r="M58" i="4" s="1"/>
  <c r="M57" i="4" s="1"/>
  <c r="K58" i="4"/>
  <c r="N58" i="4" s="1"/>
  <c r="N57" i="4" s="1"/>
  <c r="X63" i="3"/>
  <c r="Z63" i="3"/>
  <c r="BJ63" i="3"/>
  <c r="DZ18" i="3"/>
  <c r="CY63" i="3"/>
  <c r="AW63" i="3"/>
  <c r="BI63" i="3"/>
  <c r="DY12" i="3"/>
  <c r="AV63" i="3"/>
  <c r="EA12" i="3"/>
  <c r="DY23" i="3"/>
  <c r="J63" i="3"/>
  <c r="AX63" i="3"/>
  <c r="DZ12" i="3"/>
  <c r="EA23" i="3"/>
  <c r="DZ23" i="3"/>
  <c r="DY18" i="3"/>
  <c r="EA18" i="3"/>
  <c r="EG68" i="5"/>
  <c r="EG73" i="5" s="1"/>
  <c r="DS39" i="5"/>
  <c r="DS68" i="5" s="1"/>
  <c r="EE40" i="5"/>
  <c r="EE39" i="5" s="1"/>
  <c r="EE68" i="5" s="1"/>
  <c r="M37" i="4"/>
  <c r="BD38" i="4"/>
  <c r="BD37" i="4" s="1"/>
  <c r="BD58" i="4" s="1"/>
  <c r="N8" i="4"/>
  <c r="BE10" i="4"/>
  <c r="BE8" i="4" s="1"/>
  <c r="BE58" i="4" s="1"/>
  <c r="I58" i="4"/>
  <c r="L58" i="4" s="1"/>
  <c r="L57" i="4" s="1"/>
  <c r="L8" i="4"/>
  <c r="BC10" i="4"/>
  <c r="BC8" i="4" s="1"/>
  <c r="BC31" i="4"/>
  <c r="BC22" i="4" s="1"/>
  <c r="L22" i="4"/>
  <c r="EF68" i="5" l="1"/>
  <c r="DZ63" i="3"/>
  <c r="EA63" i="3"/>
  <c r="DY63" i="3"/>
  <c r="BC58" i="4"/>
</calcChain>
</file>

<file path=xl/comments1.xml><?xml version="1.0" encoding="utf-8"?>
<comments xmlns="http://schemas.openxmlformats.org/spreadsheetml/2006/main">
  <authors>
    <author>Ива Гогова</author>
  </authors>
  <commentList>
    <comment ref="CL27" authorId="0" shapeId="0">
      <text>
        <r>
          <rPr>
            <b/>
            <sz val="9"/>
            <color indexed="81"/>
            <rFont val="Tahoma"/>
            <family val="2"/>
            <charset val="204"/>
          </rPr>
          <t>Ива Гогова:</t>
        </r>
        <r>
          <rPr>
            <sz val="9"/>
            <color indexed="81"/>
            <rFont val="Tahoma"/>
            <family val="2"/>
            <charset val="204"/>
          </rPr>
          <t xml:space="preserve">
КОЛЕДНА УКРАСА</t>
        </r>
      </text>
    </comment>
    <comment ref="CM27" authorId="0" shapeId="0">
      <text>
        <r>
          <rPr>
            <b/>
            <sz val="9"/>
            <color indexed="81"/>
            <rFont val="Tahoma"/>
            <family val="2"/>
            <charset val="204"/>
          </rPr>
          <t>Ива Гогова:</t>
        </r>
        <r>
          <rPr>
            <sz val="9"/>
            <color indexed="81"/>
            <rFont val="Tahoma"/>
            <family val="2"/>
            <charset val="204"/>
          </rPr>
          <t xml:space="preserve">
КОЛЕДНА УКРАСА</t>
        </r>
      </text>
    </comment>
  </commentList>
</comments>
</file>

<file path=xl/sharedStrings.xml><?xml version="1.0" encoding="utf-8"?>
<sst xmlns="http://schemas.openxmlformats.org/spreadsheetml/2006/main" count="1600" uniqueCount="762">
  <si>
    <t>Приложение №3</t>
  </si>
  <si>
    <t xml:space="preserve">ПРОЕКТ </t>
  </si>
  <si>
    <t>БЮДЖЕТ 2024 - РАЗХОДИ</t>
  </si>
  <si>
    <t>ДЪРЖАВНИ ДЕЙНОСТИ    -    от държавни приходи</t>
  </si>
  <si>
    <t>НАИМ. НА РАЗХОДА</t>
  </si>
  <si>
    <t>ПАР.</t>
  </si>
  <si>
    <t>ОБЩИ ДЪРЖАВНИ СЛУЖБИ</t>
  </si>
  <si>
    <t>ВСИЧКО ЗА ФУНКЦИЯ</t>
  </si>
  <si>
    <t>ОТБРАНА И СИГУРНОСТ</t>
  </si>
  <si>
    <t>ОБРАЗОВАНИЕ</t>
  </si>
  <si>
    <t>ЗДРАВЕОПАЗВАНЕ</t>
  </si>
  <si>
    <t>СОЦИАЛНО ОСИГУРЯВАНЕ,ПОДПОМАГАНЕ И ГРИЖИ</t>
  </si>
  <si>
    <t>КУЛТУРА, СПОР, ПОЧИВНИ Д-СТИ И РЕЛИГИОЗНО ДЕЛО</t>
  </si>
  <si>
    <t>ИКОНОМИЧЕСКИ ДЕЙНОСТИ И УСЛУГИ</t>
  </si>
  <si>
    <t>ВСИЧКО ОБЩИНА</t>
  </si>
  <si>
    <t>Общинска администрация- 122</t>
  </si>
  <si>
    <t>Общ.служби (избори)- 117</t>
  </si>
  <si>
    <t>"ОБЩИ ДЪРЖАВНИ СЛУЖБИ"</t>
  </si>
  <si>
    <t>Др.д-сти по вътр.сиг.-239</t>
  </si>
  <si>
    <t>ОМП-282</t>
  </si>
  <si>
    <t>Доброволни форм. за защита при бедствия-285</t>
  </si>
  <si>
    <t>Ликвид. на последици от СБПА-284</t>
  </si>
  <si>
    <t xml:space="preserve"> " ОТБРАНА И СИГУРНОСТ"</t>
  </si>
  <si>
    <t>Детски градини - 311</t>
  </si>
  <si>
    <t>Подготвителна група в училище -318</t>
  </si>
  <si>
    <t>Неспециализирани у-ща, без ПГ - 322</t>
  </si>
  <si>
    <t>Профес. гимназии - 326</t>
  </si>
  <si>
    <t>ЦПЛР  -337</t>
  </si>
  <si>
    <t>Ресурсно подпомагане  -338</t>
  </si>
  <si>
    <t>Др.дейности по образованието -389</t>
  </si>
  <si>
    <t>"ОБРАЗОВАНИЕ"</t>
  </si>
  <si>
    <t>Детски ясли,детски кухни и яслени групи в ДГ - 431</t>
  </si>
  <si>
    <t>Здр.кабинет в дет.градини и у-ща -437</t>
  </si>
  <si>
    <t>Др.д-сти по здрав.-469</t>
  </si>
  <si>
    <t>"ЗДРАВЕОПАЗВАНЕ</t>
  </si>
  <si>
    <t>ДВХУ-541</t>
  </si>
  <si>
    <t>Пр.вр.заетост-532</t>
  </si>
  <si>
    <t>ЦНСТ (Н.бани) - 530</t>
  </si>
  <si>
    <t>ЦНСТ (Асеновград) - 530</t>
  </si>
  <si>
    <t>Центрове за общ.подкрепа - 526</t>
  </si>
  <si>
    <t>Центрове за общ.подкрепа ОЦДС - 526</t>
  </si>
  <si>
    <t>Програми за закрила на детето (приемна грижа) - 538</t>
  </si>
  <si>
    <t>Център за соц.рехаб. и интеграция- 550</t>
  </si>
  <si>
    <t>Дневни центрове - 551</t>
  </si>
  <si>
    <t>Дневни центрове ДЦПЛТМУ- 551</t>
  </si>
  <si>
    <t>Социални услуги в домашна среда (асист. подкрепа)-561</t>
  </si>
  <si>
    <t>Асистенти за лична помощ-562</t>
  </si>
  <si>
    <t>Др. служби ид-сти по СОПЗ-589</t>
  </si>
  <si>
    <t>"СОЦИАЛНО ОСИГ.,ПОДПОМАГАНЕ И ГРИЖИ"</t>
  </si>
  <si>
    <t>Музей с рег.х-р-739</t>
  </si>
  <si>
    <t>Спорт за всички-713</t>
  </si>
  <si>
    <t>Читалища-738</t>
  </si>
  <si>
    <t>ДД културата-759</t>
  </si>
  <si>
    <t>"КУЛТУРА,СПОРТ, ПОЧ. Д-СТИ И РЕЛ.ДЕЛО"</t>
  </si>
  <si>
    <t>ДД трансп.-849</t>
  </si>
  <si>
    <t>Др.д-сти икономиката-898</t>
  </si>
  <si>
    <t>"ИКОНОМИЧЕСКИ ДЕЙНОСТИ И УСЛУГИ"</t>
  </si>
  <si>
    <t>ДЪРЖАВНИ Д-СТИ ОТ ДЪРЖ. ПРИХОДИ</t>
  </si>
  <si>
    <t>Първ. 2023</t>
  </si>
  <si>
    <t>Уточнен 
2023</t>
  </si>
  <si>
    <t>Проект 2024</t>
  </si>
  <si>
    <t>Заплати и възнагр. на персонала</t>
  </si>
  <si>
    <t>01</t>
  </si>
  <si>
    <t>заплати и възн. на перс., нает по тр. прав.</t>
  </si>
  <si>
    <t>0101</t>
  </si>
  <si>
    <t>заплати и възн. на перс., нает по сл. прав.</t>
  </si>
  <si>
    <t>0102</t>
  </si>
  <si>
    <t>Др. възнагр. и плащ. за персонал</t>
  </si>
  <si>
    <t>02</t>
  </si>
  <si>
    <t>за нещат. перс. по тр. правоотнош.</t>
  </si>
  <si>
    <t>0201</t>
  </si>
  <si>
    <t>за перс. по извънтрудови правоотнош.</t>
  </si>
  <si>
    <t>0202</t>
  </si>
  <si>
    <t>изплатени суми от СБКО, за облекло и др.</t>
  </si>
  <si>
    <t>0205</t>
  </si>
  <si>
    <t>обезщетения на персонала,с х-р на възнагр.</t>
  </si>
  <si>
    <t>0208</t>
  </si>
  <si>
    <t>др. подобни плащания и възнаграждения</t>
  </si>
  <si>
    <t>0209</t>
  </si>
  <si>
    <t xml:space="preserve">Задълж.осиг.вн. работод. </t>
  </si>
  <si>
    <t>05</t>
  </si>
  <si>
    <t>Осиг.вн. работод.(ДОО)</t>
  </si>
  <si>
    <t>0551</t>
  </si>
  <si>
    <t>Осиг.вн. работод.(УПФ)</t>
  </si>
  <si>
    <t>0552</t>
  </si>
  <si>
    <t>ЗО вноски работод.</t>
  </si>
  <si>
    <t>0560</t>
  </si>
  <si>
    <t>Вноски за ДЗПО</t>
  </si>
  <si>
    <t>0580</t>
  </si>
  <si>
    <t>ИЗДРЪЖКА</t>
  </si>
  <si>
    <t>10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</si>
  <si>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</si>
  <si>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</si>
  <si>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</si>
  <si>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</si>
  <si>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</si>
  <si>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</si>
  <si>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Уч. и н.-изсл. разх. и книги за библ.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</si>
  <si>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</si>
  <si>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</si>
  <si>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</si>
  <si>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</si>
  <si>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</si>
  <si>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</si>
  <si>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</si>
  <si>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</si>
  <si>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</si>
  <si>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</si>
  <si>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</si>
  <si>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Командировки в чужбина</t>
  </si>
  <si>
    <t>1052</t>
  </si>
  <si>
    <t>разходи за застраховки</t>
  </si>
  <si>
    <t>1062</t>
  </si>
  <si>
    <t>други разходи за СБКО</t>
  </si>
  <si>
    <t>1091</t>
  </si>
  <si>
    <t>р-ди за дог.санкции и неустоики, съд.обезщ. и разноски</t>
  </si>
  <si>
    <t>1092</t>
  </si>
  <si>
    <t>други некласиф. в др.параграфи</t>
  </si>
  <si>
    <t>1098</t>
  </si>
  <si>
    <t>Платени данъци, такси и адм.санкции</t>
  </si>
  <si>
    <t>19</t>
  </si>
  <si>
    <t>Платени държавни данъци, такси, нак.лихви и адм.санкции</t>
  </si>
  <si>
    <t>1901</t>
  </si>
  <si>
    <t>Платени общински данъци, такси, нак.лихви и адм.санкции</t>
  </si>
  <si>
    <t>1981</t>
  </si>
  <si>
    <t>Стипендии</t>
  </si>
  <si>
    <t>40</t>
  </si>
  <si>
    <t xml:space="preserve">Текущи трансфери,обезщ. и помощи </t>
  </si>
  <si>
    <t>42</t>
  </si>
  <si>
    <t>Обезщетения и помощи по социално подпомагане</t>
  </si>
  <si>
    <t>4202</t>
  </si>
  <si>
    <t>Др.текущи трансфери за домакинства</t>
  </si>
  <si>
    <t>4219</t>
  </si>
  <si>
    <t>Субс. за неф. предпр. за тек дейност</t>
  </si>
  <si>
    <t>43</t>
  </si>
  <si>
    <t>за текуща дейност</t>
  </si>
  <si>
    <t>4301</t>
  </si>
  <si>
    <t>за осъществ. на болнична помощ</t>
  </si>
  <si>
    <t>4302</t>
  </si>
  <si>
    <t>Субс. и др.тек.трансфери за ЮЛ с нест.цел</t>
  </si>
  <si>
    <t>45</t>
  </si>
  <si>
    <t>Разх.за чл.внос и участ.в нетър.орг.</t>
  </si>
  <si>
    <t>46</t>
  </si>
  <si>
    <t>Основен ремонт на ДМА</t>
  </si>
  <si>
    <t>51</t>
  </si>
  <si>
    <t>Придобиване на ДМА</t>
  </si>
  <si>
    <t>52</t>
  </si>
  <si>
    <t>Компютри и хардуер</t>
  </si>
  <si>
    <t>5201</t>
  </si>
  <si>
    <t>Сгради</t>
  </si>
  <si>
    <t>5202</t>
  </si>
  <si>
    <t>Др.обор.,машини и съоръжения</t>
  </si>
  <si>
    <t>5203</t>
  </si>
  <si>
    <t>Транспортни средства</t>
  </si>
  <si>
    <t>5204</t>
  </si>
  <si>
    <t>Стопански инвентар</t>
  </si>
  <si>
    <t>5205</t>
  </si>
  <si>
    <t>Инфраструктурни обекти</t>
  </si>
  <si>
    <t>5206</t>
  </si>
  <si>
    <t>Други ДМА</t>
  </si>
  <si>
    <t>5219</t>
  </si>
  <si>
    <t>Придобиване на НДА</t>
  </si>
  <si>
    <t>53</t>
  </si>
  <si>
    <t>Програмни продукти  и лицензи за пр.продукти</t>
  </si>
  <si>
    <t>5301</t>
  </si>
  <si>
    <t>Други НДА</t>
  </si>
  <si>
    <t>5309</t>
  </si>
  <si>
    <t>Резерв за непр. и неотл.р-ди</t>
  </si>
  <si>
    <t>0098</t>
  </si>
  <si>
    <t>ВСИЧКО РАЗХОДИ</t>
  </si>
  <si>
    <t>Приложение №4</t>
  </si>
  <si>
    <t>ДЪРЖАВНИ ДЕЙНОСТИ    -  дофинансирани  от общински приходи</t>
  </si>
  <si>
    <t>ОМП- 282</t>
  </si>
  <si>
    <t>С О П Г</t>
  </si>
  <si>
    <t>Музей рег.х-р-739</t>
  </si>
  <si>
    <t>"ОТБРАНА И СИГУРНОСТ"</t>
  </si>
  <si>
    <t>Неспецализирани у-ща, без ПГ - 322</t>
  </si>
  <si>
    <t>ДД ОБРАЗОВАНИЕТО  -389</t>
  </si>
  <si>
    <t>ЦНСТ-Н.бани - 530</t>
  </si>
  <si>
    <t>ЦОП /ОЦДС/ - 526</t>
  </si>
  <si>
    <t>Дневни центрове  - 551</t>
  </si>
  <si>
    <t>"КУЛТУРА,СПОРТ, ПОЧ. Д-СТИ"</t>
  </si>
  <si>
    <t>Д.Д-СТИ ДОФИН. ОТ МЕСТНИ ПРИХОДИ</t>
  </si>
  <si>
    <t>Първ. 2021</t>
  </si>
  <si>
    <t>Уточнен 
2021</t>
  </si>
  <si>
    <t>Отчет 
2021</t>
  </si>
  <si>
    <t>Проект 2022</t>
  </si>
  <si>
    <t>Приложение №5</t>
  </si>
  <si>
    <t xml:space="preserve">МЕСТНИ(ОБЩИНСКИ) ДЕЙНОСТИ </t>
  </si>
  <si>
    <t>НАИМЕН. НА РАЗХОДА</t>
  </si>
  <si>
    <t>СОПГ</t>
  </si>
  <si>
    <t>ЖИЛИЩНО СТРОИТЕЛСТВО, БКС И ООС</t>
  </si>
  <si>
    <t>КУЛТУРА, СПОРТ, ПОЧИВНИ Д-СТИ И РЕЛИГИОЗНО ДЕЛО</t>
  </si>
  <si>
    <t>РАЗХОДИ НЕКЛАСИФИЦИРАНИ В ДРУГИТЕ ФУНКЦИИ</t>
  </si>
  <si>
    <t>ОбС - 123</t>
  </si>
  <si>
    <t>ПГУ-318</t>
  </si>
  <si>
    <t>МБАЛ-412</t>
  </si>
  <si>
    <t>Детски ясли,детски кухни-431</t>
  </si>
  <si>
    <t>ДСП-524</t>
  </si>
  <si>
    <t>Клубове за пенсионери-525</t>
  </si>
  <si>
    <t>Пр.врем.заетост-532</t>
  </si>
  <si>
    <t>Водоснабдяване и канализация -603</t>
  </si>
  <si>
    <t>Освет. улици-604</t>
  </si>
  <si>
    <t>Изгр.,рем. и поддърж.на ул.мрежа-606</t>
  </si>
  <si>
    <t>Др.д-сти по жил.стр.-619</t>
  </si>
  <si>
    <t>Др. д-сти по опазв.ок.ср.-629</t>
  </si>
  <si>
    <t>Озеленяване-622</t>
  </si>
  <si>
    <t>Чистота -623</t>
  </si>
  <si>
    <t>Геозащита -624</t>
  </si>
  <si>
    <t>Пречистване на отпадъчни води от нас.места -626</t>
  </si>
  <si>
    <t>Управление на дейностите по отпадъците (ОП"РЦТБО")- 627</t>
  </si>
  <si>
    <t>Управление на д-те по отпадъците (Компост. инсталация и Втора клетка депо) - 627</t>
  </si>
  <si>
    <t>"ЖИЛ.СТРОИТЕЛСТВО, БКС И ООС"</t>
  </si>
  <si>
    <t>Спортни бази за спорт за всички-714</t>
  </si>
  <si>
    <t>Град.библ.-752</t>
  </si>
  <si>
    <t>Музеи с мест.х-р - 740</t>
  </si>
  <si>
    <t>Др.д-сти по култ.-759</t>
  </si>
  <si>
    <t>Обредни домове и зали-745</t>
  </si>
  <si>
    <t>У-ние,контр. път.-831</t>
  </si>
  <si>
    <t>Сл. и д-сти поддърж. и рем. по път.-832</t>
  </si>
  <si>
    <t>Др.д-сти по тран.-849</t>
  </si>
  <si>
    <t>Др.д-сти по туризма-865</t>
  </si>
  <si>
    <t>Общ.пазари - 866</t>
  </si>
  <si>
    <t>Общо: Др.д-сти по икономиката(898), в т.ч.</t>
  </si>
  <si>
    <t>*Др.д-сти по икономиката -община</t>
  </si>
  <si>
    <t>*Инспекторат, паркинги и гаражи</t>
  </si>
  <si>
    <t>Разходи за лихви-910</t>
  </si>
  <si>
    <t>РЕЗЕРВ -998</t>
  </si>
  <si>
    <t>"Р-ДИ НЕКЛАСИФИЦ. В ДРУГИТЕ Ф-И"</t>
  </si>
  <si>
    <t>местни(общински) дейности</t>
  </si>
  <si>
    <t>Първ. 2022</t>
  </si>
  <si>
    <t>Уточнен 
2022</t>
  </si>
  <si>
    <t>Проект 2023</t>
  </si>
  <si>
    <t>такса ангажимент по заеми</t>
  </si>
  <si>
    <t>1063</t>
  </si>
  <si>
    <t>други финансови услуги</t>
  </si>
  <si>
    <t>1069</t>
  </si>
  <si>
    <t>Разходи за лихви по заеми</t>
  </si>
  <si>
    <t>22</t>
  </si>
  <si>
    <t>лихви по заеми от банки</t>
  </si>
  <si>
    <t>2221</t>
  </si>
  <si>
    <t>лихви по други заеми от страната</t>
  </si>
  <si>
    <t>2224</t>
  </si>
  <si>
    <t>Обезщ.и пом.по реш. на ОбС</t>
  </si>
  <si>
    <t>4214</t>
  </si>
  <si>
    <t>Придобиване на земя</t>
  </si>
  <si>
    <t>54</t>
  </si>
  <si>
    <t>Наименование на приходните параграфи</t>
  </si>
  <si>
    <t>§</t>
  </si>
  <si>
    <t xml:space="preserve">ПЪРВ. ПЛАН          2022         </t>
  </si>
  <si>
    <t xml:space="preserve">УТОЧ.  ПЛАН          2022         </t>
  </si>
  <si>
    <t xml:space="preserve">ОТЧЕТ     31.12.2022  </t>
  </si>
  <si>
    <t xml:space="preserve">Разлика </t>
  </si>
  <si>
    <t xml:space="preserve">% изпълнение </t>
  </si>
  <si>
    <t xml:space="preserve">ПРОЕКТ БЮДЖЕТ                  2024         </t>
  </si>
  <si>
    <t>РАЗДЕЛ: ПРИХОДИ, ПОМОЩИ И ДАРЕНИЯ</t>
  </si>
  <si>
    <t xml:space="preserve">              </t>
  </si>
  <si>
    <t>Приходи и доходи от собственост</t>
  </si>
  <si>
    <t>24 00</t>
  </si>
  <si>
    <r>
      <t xml:space="preserve">      приходи от </t>
    </r>
    <r>
      <rPr>
        <b/>
        <i/>
        <sz val="10"/>
        <color indexed="8"/>
        <rFont val="Arial"/>
        <family val="2"/>
        <charset val="204"/>
      </rPr>
      <t>наеми на имущество</t>
    </r>
  </si>
  <si>
    <t>24 05</t>
  </si>
  <si>
    <r>
      <t xml:space="preserve">      приходи от </t>
    </r>
    <r>
      <rPr>
        <b/>
        <i/>
        <sz val="10"/>
        <color indexed="8"/>
        <rFont val="Arial"/>
        <family val="2"/>
        <charset val="204"/>
      </rPr>
      <t>наеми на земя</t>
    </r>
  </si>
  <si>
    <t>24 06</t>
  </si>
  <si>
    <t xml:space="preserve">Общински такси </t>
  </si>
  <si>
    <t>27 00</t>
  </si>
  <si>
    <r>
      <t xml:space="preserve">        за </t>
    </r>
    <r>
      <rPr>
        <b/>
        <sz val="10"/>
        <color indexed="8"/>
        <rFont val="Arial"/>
        <family val="2"/>
        <charset val="204"/>
      </rPr>
      <t>административни услуги</t>
    </r>
  </si>
  <si>
    <t>27 11</t>
  </si>
  <si>
    <t>Глоби, санкции и наказателни лихви</t>
  </si>
  <si>
    <t>28 00</t>
  </si>
  <si>
    <r>
      <t xml:space="preserve">        </t>
    </r>
    <r>
      <rPr>
        <b/>
        <i/>
        <sz val="10"/>
        <color indexed="8"/>
        <rFont val="Arial"/>
        <family val="2"/>
        <charset val="204"/>
      </rPr>
      <t>глоби,</t>
    </r>
    <r>
      <rPr>
        <sz val="10"/>
        <color indexed="8"/>
        <rFont val="Arial"/>
        <family val="2"/>
        <charset val="204"/>
      </rPr>
      <t xml:space="preserve"> санкции, неустойки, наказателни лихви, обезщетения и начети</t>
    </r>
  </si>
  <si>
    <t>28 02</t>
  </si>
  <si>
    <t>Други  приходи</t>
  </si>
  <si>
    <t>36 00</t>
  </si>
  <si>
    <t>реализирани курсови разлики от валутни операции</t>
  </si>
  <si>
    <t>36 01</t>
  </si>
  <si>
    <t>получени застрахователни обезщетения за ДМА</t>
  </si>
  <si>
    <t>36 11</t>
  </si>
  <si>
    <t xml:space="preserve">получени застрахователни обезщетения </t>
  </si>
  <si>
    <t>36 12</t>
  </si>
  <si>
    <r>
      <t xml:space="preserve">        </t>
    </r>
    <r>
      <rPr>
        <b/>
        <i/>
        <sz val="10"/>
        <color indexed="8"/>
        <rFont val="Arial"/>
        <family val="2"/>
        <charset val="204"/>
      </rPr>
      <t>други</t>
    </r>
    <r>
      <rPr>
        <sz val="10"/>
        <color indexed="8"/>
        <rFont val="Arial"/>
        <family val="2"/>
        <charset val="204"/>
      </rPr>
      <t xml:space="preserve"> неданъчни приходи</t>
    </r>
  </si>
  <si>
    <t>36 19</t>
  </si>
  <si>
    <t>Внесен ДДС и други данъци върху продажбите</t>
  </si>
  <si>
    <t>37 00</t>
  </si>
  <si>
    <r>
      <t xml:space="preserve">          внесен </t>
    </r>
    <r>
      <rPr>
        <b/>
        <i/>
        <sz val="10"/>
        <color indexed="8"/>
        <rFont val="Arial"/>
        <family val="2"/>
        <charset val="204"/>
      </rPr>
      <t xml:space="preserve">данък върху приходите от стопанска дейност </t>
    </r>
    <r>
      <rPr>
        <sz val="10"/>
        <color indexed="8"/>
        <rFont val="Arial"/>
        <family val="2"/>
        <charset val="204"/>
      </rPr>
      <t>на бюджетните предприятия (-)</t>
    </r>
  </si>
  <si>
    <t>37 02</t>
  </si>
  <si>
    <t>Помощи и дарения от страната</t>
  </si>
  <si>
    <t>45 00</t>
  </si>
  <si>
    <r>
      <t xml:space="preserve">        текущи </t>
    </r>
    <r>
      <rPr>
        <sz val="10"/>
        <color indexed="8"/>
        <rFont val="Arial"/>
        <family val="2"/>
        <charset val="204"/>
      </rPr>
      <t>помощи и дарения от</t>
    </r>
    <r>
      <rPr>
        <b/>
        <i/>
        <sz val="10"/>
        <color indexed="8"/>
        <rFont val="Arial"/>
        <family val="2"/>
        <charset val="204"/>
      </rPr>
      <t xml:space="preserve"> страната</t>
    </r>
  </si>
  <si>
    <t>45 01</t>
  </si>
  <si>
    <t>ОБЩО РАЗДЕЛ ПРИХОДИ, ПОМОЩИ И ДАРЕНИЯ:</t>
  </si>
  <si>
    <t>РАЗДЕЛ: БЮДЖЕТНИ ВЗАИМООТНОШЕНИЯ</t>
  </si>
  <si>
    <t>А)ТРАНСФЕРИ</t>
  </si>
  <si>
    <t>Трансфери между бюджета на бюджетната организация и ЦБ</t>
  </si>
  <si>
    <t>31 00</t>
  </si>
  <si>
    <t xml:space="preserve">  -  трансфери от/за ЦБ (+/-)</t>
  </si>
  <si>
    <t>31 10</t>
  </si>
  <si>
    <r>
      <t xml:space="preserve">      обща</t>
    </r>
    <r>
      <rPr>
        <b/>
        <i/>
        <sz val="12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субсидия</t>
    </r>
    <r>
      <rPr>
        <sz val="12"/>
        <color indexed="8"/>
        <rFont val="Arial"/>
        <family val="2"/>
        <charset val="204"/>
      </rPr>
      <t xml:space="preserve"> и други трансфери </t>
    </r>
    <r>
      <rPr>
        <b/>
        <i/>
        <sz val="12"/>
        <color indexed="8"/>
        <rFont val="Arial"/>
        <family val="2"/>
        <charset val="204"/>
      </rPr>
      <t xml:space="preserve">за държавни </t>
    </r>
    <r>
      <rPr>
        <b/>
        <sz val="12"/>
        <color indexed="8"/>
        <rFont val="Arial"/>
        <family val="2"/>
        <charset val="204"/>
      </rPr>
      <t>дейности</t>
    </r>
    <r>
      <rPr>
        <b/>
        <i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от ЦБ за общини (+)</t>
    </r>
  </si>
  <si>
    <t>31 11</t>
  </si>
  <si>
    <r>
      <t xml:space="preserve">     получени от общини целеви субсидии от ЦБ за </t>
    </r>
    <r>
      <rPr>
        <b/>
        <i/>
        <sz val="12"/>
        <color indexed="8"/>
        <rFont val="Arial"/>
        <family val="2"/>
        <charset val="204"/>
      </rPr>
      <t>капиталови</t>
    </r>
    <r>
      <rPr>
        <b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разходи (+)</t>
    </r>
  </si>
  <si>
    <t>31 13</t>
  </si>
  <si>
    <r>
      <t xml:space="preserve">       получени от общини целеви трансфери от ЦБ чрез  кодовете в СЕБРА</t>
    </r>
    <r>
      <rPr>
        <b/>
        <i/>
        <sz val="11"/>
        <color indexed="8"/>
        <rFont val="Arial"/>
        <family val="2"/>
        <charset val="204"/>
      </rPr>
      <t xml:space="preserve"> 488 001 ххх-х</t>
    </r>
  </si>
  <si>
    <t>31 18</t>
  </si>
  <si>
    <r>
      <t xml:space="preserve">       получени от общини целеви трансфери от ЦБ чрез  кодовете в СЕБРА</t>
    </r>
    <r>
      <rPr>
        <b/>
        <i/>
        <sz val="11"/>
        <color indexed="8"/>
        <rFont val="Arial"/>
        <family val="2"/>
        <charset val="204"/>
      </rPr>
      <t xml:space="preserve"> 488 002 ххх-х</t>
    </r>
  </si>
  <si>
    <t>31 28</t>
  </si>
  <si>
    <t xml:space="preserve">  - възстановени трансфери за ЦБ /-/</t>
  </si>
  <si>
    <t>31 20</t>
  </si>
  <si>
    <t>Трансфери между бюджети /нето/</t>
  </si>
  <si>
    <t>61 00</t>
  </si>
  <si>
    <t xml:space="preserve">     -трансфери между бюджети - получени трансфери (+)</t>
  </si>
  <si>
    <t>61 01</t>
  </si>
  <si>
    <t xml:space="preserve">    -  трансфери между бюджети - предоставени трансфери (-)</t>
  </si>
  <si>
    <t>61 02</t>
  </si>
  <si>
    <t xml:space="preserve"> - трансфери от МТСП по програми за осигуряване на заетост (+/--)</t>
  </si>
  <si>
    <t>61 05</t>
  </si>
  <si>
    <t xml:space="preserve">     - вътрешни трансф.в сист.на първост.разпоредител</t>
  </si>
  <si>
    <t>61 09</t>
  </si>
  <si>
    <t>Трансфери между бюджети и сметки за средства от Европейския съюз</t>
  </si>
  <si>
    <t>62 00</t>
  </si>
  <si>
    <t xml:space="preserve">    - получени трансфери (+)</t>
  </si>
  <si>
    <t>62 01</t>
  </si>
  <si>
    <t xml:space="preserve">   -  предоставени трансфери (-)</t>
  </si>
  <si>
    <t>62 02</t>
  </si>
  <si>
    <t>Трансфери от/за държавни предприятия и други лица, включени в консолидираната фиксална програма</t>
  </si>
  <si>
    <t>64 00</t>
  </si>
  <si>
    <t xml:space="preserve">   -  получени трансфери (+)</t>
  </si>
  <si>
    <t>64 01</t>
  </si>
  <si>
    <t>ОБЩО ТРАНСФЕРИ:</t>
  </si>
  <si>
    <t>Б) ВРЕМЕННИ БЕЗЛИХВЕНИ ЗАЕМИ</t>
  </si>
  <si>
    <r>
      <t xml:space="preserve">Временни безлихвени заеми между бюджети и  </t>
    </r>
    <r>
      <rPr>
        <b/>
        <sz val="12"/>
        <color indexed="18"/>
        <rFont val="Arial"/>
        <family val="2"/>
        <charset val="204"/>
      </rPr>
      <t xml:space="preserve">сметки за средствата от Европейския съюз </t>
    </r>
    <r>
      <rPr>
        <b/>
        <sz val="12"/>
        <rFont val="Arial"/>
        <family val="2"/>
        <charset val="204"/>
      </rPr>
      <t>(нето)</t>
    </r>
  </si>
  <si>
    <t>76-00</t>
  </si>
  <si>
    <t>ОБЩО ВРЕМЕННИ БЕЗЛИХВЕНИ ЗАЕМИ:</t>
  </si>
  <si>
    <t>ОБЩО РАЗДЕЛ БЮДЖЕТНИ ВЗАИМООТНОШЕНИЯ.:</t>
  </si>
  <si>
    <t>РАЗДЕЛ: ФИНАНСИРАНЕ</t>
  </si>
  <si>
    <r>
      <t xml:space="preserve"> Събрани средства и извършени плащания за сметка на други бюджети, сметки и фондове - </t>
    </r>
    <r>
      <rPr>
        <b/>
        <i/>
        <sz val="12"/>
        <rFont val="Arial"/>
        <family val="2"/>
        <charset val="204"/>
      </rPr>
      <t xml:space="preserve">нето </t>
    </r>
    <r>
      <rPr>
        <b/>
        <sz val="12"/>
        <rFont val="Arial"/>
        <family val="2"/>
        <charset val="204"/>
      </rPr>
      <t>(</t>
    </r>
    <r>
      <rPr>
        <b/>
        <i/>
        <sz val="12"/>
        <rFont val="Arial"/>
        <family val="2"/>
        <charset val="204"/>
      </rPr>
      <t>+</t>
    </r>
    <r>
      <rPr>
        <b/>
        <sz val="12"/>
        <rFont val="Arial"/>
        <family val="2"/>
        <charset val="204"/>
      </rPr>
      <t>/-)</t>
    </r>
  </si>
  <si>
    <t>88 00</t>
  </si>
  <si>
    <r>
      <t xml:space="preserve">   -  Събрани средства и извършени плащания от/за </t>
    </r>
    <r>
      <rPr>
        <i/>
        <sz val="11"/>
        <color indexed="8"/>
        <rFont val="Arial"/>
        <family val="2"/>
        <charset val="204"/>
      </rPr>
      <t>сметки за средства от Европейския съюз</t>
    </r>
    <r>
      <rPr>
        <sz val="11"/>
        <color indexed="8"/>
        <rFont val="Arial"/>
        <family val="2"/>
        <charset val="204"/>
      </rPr>
      <t xml:space="preserve"> (+/-) (проекти "Хуманитарни дейности)</t>
    </r>
  </si>
  <si>
    <t>88 03</t>
  </si>
  <si>
    <t>Друго финансиране /нето/ (+/-)</t>
  </si>
  <si>
    <t>93 00</t>
  </si>
  <si>
    <t xml:space="preserve">    чужди средства от други лица (+/-)</t>
  </si>
  <si>
    <t>93 10</t>
  </si>
  <si>
    <t xml:space="preserve">   -  Друго финансиране - операции с пасиви /+/-/</t>
  </si>
  <si>
    <t>93 39</t>
  </si>
  <si>
    <r>
      <t>Депозити и средства по сметки (</t>
    </r>
    <r>
      <rPr>
        <i/>
        <sz val="12"/>
        <color indexed="8"/>
        <rFont val="Arial"/>
        <family val="2"/>
        <charset val="204"/>
      </rPr>
      <t>нето</t>
    </r>
    <r>
      <rPr>
        <b/>
        <sz val="12"/>
        <color indexed="8"/>
        <rFont val="Arial"/>
        <family val="2"/>
        <charset val="204"/>
      </rPr>
      <t>) (+/-)</t>
    </r>
  </si>
  <si>
    <t>95 00</t>
  </si>
  <si>
    <t xml:space="preserve">   - остатък в левове по сметки от предходния период /+/</t>
  </si>
  <si>
    <t>95 01</t>
  </si>
  <si>
    <t xml:space="preserve">   - остатък в левове по депозити от предходния период /+/</t>
  </si>
  <si>
    <t>95 03</t>
  </si>
  <si>
    <t xml:space="preserve">    - наличност в левове по сметки в края на периода (-)</t>
  </si>
  <si>
    <t>95 07</t>
  </si>
  <si>
    <t>наличност в левове по срочни депозити в края на периода(-)</t>
  </si>
  <si>
    <t>95 09</t>
  </si>
  <si>
    <t>наличност в касата в левове</t>
  </si>
  <si>
    <t>95 11</t>
  </si>
  <si>
    <t>ОБЩО РАЗДЕЛ ФИНАНСИРАНЕ:</t>
  </si>
  <si>
    <t>ВСИЧКО ПРИХОДИ ПО БЮДЖЕТА:</t>
  </si>
  <si>
    <t>ВСИЧКО ПРИХОДИ ПО БЮДЖЕТА БЕЗ § 95 (от 95-07 до 95-11)</t>
  </si>
  <si>
    <t xml:space="preserve">ПЪРВ. ПЛАН
 2022
          </t>
  </si>
  <si>
    <t xml:space="preserve">УТОЧ. ПЛАН
 2022
          </t>
  </si>
  <si>
    <t xml:space="preserve">ПЪРВОН. БЮДЖЕТ           2023         </t>
  </si>
  <si>
    <t xml:space="preserve">ПРОЕКТ БЮДЖЕТ               2024         </t>
  </si>
  <si>
    <t>А) ДАНЪЧНИ ПРИХОДИ</t>
  </si>
  <si>
    <t>Данък върху доходите на физически лица</t>
  </si>
  <si>
    <t>01 00</t>
  </si>
  <si>
    <t xml:space="preserve">     окончателен годишен (патентен) данък и данък върху таксиметров превоз на пътници</t>
  </si>
  <si>
    <t>01 03</t>
  </si>
  <si>
    <t xml:space="preserve">      в т.ч. данък върху таксиметров превоз на пътници</t>
  </si>
  <si>
    <t>01 13</t>
  </si>
  <si>
    <t>Имуществени и други местни данъци</t>
  </si>
  <si>
    <t>13  00</t>
  </si>
  <si>
    <r>
      <t xml:space="preserve">     данък върху </t>
    </r>
    <r>
      <rPr>
        <b/>
        <i/>
        <sz val="10"/>
        <color indexed="8"/>
        <rFont val="Arial"/>
        <family val="2"/>
        <charset val="204"/>
      </rPr>
      <t>недвижими имоти</t>
    </r>
  </si>
  <si>
    <t>13  01</t>
  </si>
  <si>
    <r>
      <t xml:space="preserve">     данък върху</t>
    </r>
    <r>
      <rPr>
        <b/>
        <i/>
        <sz val="10"/>
        <color indexed="8"/>
        <rFont val="Arial"/>
        <family val="2"/>
        <charset val="204"/>
      </rPr>
      <t xml:space="preserve"> наследствата</t>
    </r>
  </si>
  <si>
    <t>13  02</t>
  </si>
  <si>
    <r>
      <t xml:space="preserve">     данък върху </t>
    </r>
    <r>
      <rPr>
        <b/>
        <i/>
        <sz val="10"/>
        <color indexed="8"/>
        <rFont val="Arial"/>
        <family val="2"/>
        <charset val="204"/>
      </rPr>
      <t>превозните средства</t>
    </r>
  </si>
  <si>
    <t>13  03</t>
  </si>
  <si>
    <r>
      <t xml:space="preserve">     данък при придобиване на имущество по </t>
    </r>
    <r>
      <rPr>
        <b/>
        <i/>
        <sz val="10"/>
        <color indexed="8"/>
        <rFont val="Arial"/>
        <family val="2"/>
        <charset val="204"/>
      </rPr>
      <t>дарения и възмезден начин</t>
    </r>
  </si>
  <si>
    <t>13  04</t>
  </si>
  <si>
    <t xml:space="preserve">     туристически данък</t>
  </si>
  <si>
    <t>13  08</t>
  </si>
  <si>
    <t>Други данъци</t>
  </si>
  <si>
    <t>20  00</t>
  </si>
  <si>
    <t>ОБЩО ДАНЪЧНИ ПРИХОДИ:</t>
  </si>
  <si>
    <t>Б) НЕДАНЪЧНИ ПРИХОДИ</t>
  </si>
  <si>
    <t>24  00</t>
  </si>
  <si>
    <r>
      <t xml:space="preserve">      нетни приходи от </t>
    </r>
    <r>
      <rPr>
        <b/>
        <i/>
        <sz val="10"/>
        <color indexed="8"/>
        <rFont val="Arial"/>
        <family val="2"/>
        <charset val="204"/>
      </rPr>
      <t>продажби на услуги, стоки и продукция</t>
    </r>
  </si>
  <si>
    <t>24  04</t>
  </si>
  <si>
    <t>24  05</t>
  </si>
  <si>
    <r>
      <t xml:space="preserve">      приходи от</t>
    </r>
    <r>
      <rPr>
        <b/>
        <i/>
        <sz val="10"/>
        <color indexed="8"/>
        <rFont val="Arial"/>
        <family val="2"/>
        <charset val="204"/>
      </rPr>
      <t xml:space="preserve"> наеми на земя</t>
    </r>
  </si>
  <si>
    <t>24  06</t>
  </si>
  <si>
    <r>
      <t xml:space="preserve">       приходи от </t>
    </r>
    <r>
      <rPr>
        <b/>
        <i/>
        <sz val="10"/>
        <color indexed="8"/>
        <rFont val="Arial"/>
        <family val="2"/>
        <charset val="204"/>
      </rPr>
      <t>дивиденти</t>
    </r>
  </si>
  <si>
    <t>24  07</t>
  </si>
  <si>
    <r>
      <t xml:space="preserve">       приходи от </t>
    </r>
    <r>
      <rPr>
        <b/>
        <i/>
        <sz val="10"/>
        <color indexed="8"/>
        <rFont val="Arial"/>
        <family val="2"/>
        <charset val="204"/>
      </rPr>
      <t>лихви по текущи банкови сметки</t>
    </r>
  </si>
  <si>
    <t>24  08</t>
  </si>
  <si>
    <r>
      <t xml:space="preserve">       приходи от</t>
    </r>
    <r>
      <rPr>
        <b/>
        <i/>
        <sz val="10"/>
        <color indexed="8"/>
        <rFont val="Arial"/>
        <family val="2"/>
        <charset val="204"/>
      </rPr>
      <t xml:space="preserve"> лихви по срочни депозити</t>
    </r>
  </si>
  <si>
    <t>24  09</t>
  </si>
  <si>
    <r>
      <t xml:space="preserve">       приходи от </t>
    </r>
    <r>
      <rPr>
        <b/>
        <i/>
        <sz val="10"/>
        <color indexed="8"/>
        <rFont val="Arial"/>
        <family val="2"/>
        <charset val="204"/>
      </rPr>
      <t>други лихви</t>
    </r>
  </si>
  <si>
    <t xml:space="preserve">24  19 </t>
  </si>
  <si>
    <t>27  00</t>
  </si>
  <si>
    <r>
      <t xml:space="preserve">        за ползване на </t>
    </r>
    <r>
      <rPr>
        <b/>
        <i/>
        <sz val="10"/>
        <color indexed="8"/>
        <rFont val="Arial"/>
        <family val="2"/>
        <charset val="204"/>
      </rPr>
      <t xml:space="preserve">детски градини </t>
    </r>
  </si>
  <si>
    <t>27  01</t>
  </si>
  <si>
    <r>
      <t xml:space="preserve">        за ползване на </t>
    </r>
    <r>
      <rPr>
        <b/>
        <i/>
        <sz val="10"/>
        <color indexed="8"/>
        <rFont val="Arial"/>
        <family val="2"/>
        <charset val="204"/>
      </rPr>
      <t>детски ясли и др. по здравеопазването</t>
    </r>
  </si>
  <si>
    <t>27  02</t>
  </si>
  <si>
    <r>
      <t xml:space="preserve">        за ползване на</t>
    </r>
    <r>
      <rPr>
        <b/>
        <sz val="10"/>
        <color indexed="8"/>
        <rFont val="Arial"/>
        <family val="2"/>
        <charset val="204"/>
      </rPr>
      <t xml:space="preserve"> домашен социален патронаж </t>
    </r>
    <r>
      <rPr>
        <sz val="10"/>
        <color indexed="8"/>
        <rFont val="Arial"/>
        <family val="2"/>
        <charset val="204"/>
      </rPr>
      <t xml:space="preserve">и други </t>
    </r>
    <r>
      <rPr>
        <b/>
        <i/>
        <sz val="10"/>
        <color indexed="8"/>
        <rFont val="Arial"/>
        <family val="2"/>
        <charset val="204"/>
      </rPr>
      <t>общински социални услуги</t>
    </r>
  </si>
  <si>
    <t>27  04</t>
  </si>
  <si>
    <r>
      <t xml:space="preserve">        за ползване на </t>
    </r>
    <r>
      <rPr>
        <b/>
        <i/>
        <sz val="10"/>
        <color indexed="8"/>
        <rFont val="Arial"/>
        <family val="2"/>
        <charset val="204"/>
      </rPr>
      <t>пазари, тържища, панаири, тротоари, улични платна и др.</t>
    </r>
  </si>
  <si>
    <t>27  05</t>
  </si>
  <si>
    <r>
      <t xml:space="preserve">        за</t>
    </r>
    <r>
      <rPr>
        <b/>
        <i/>
        <sz val="10"/>
        <color indexed="8"/>
        <rFont val="Arial"/>
        <family val="2"/>
        <charset val="204"/>
      </rPr>
      <t xml:space="preserve"> битови отпадъци</t>
    </r>
  </si>
  <si>
    <t>27  07</t>
  </si>
  <si>
    <r>
      <t xml:space="preserve">        за </t>
    </r>
    <r>
      <rPr>
        <b/>
        <i/>
        <sz val="10"/>
        <color indexed="8"/>
        <rFont val="Arial"/>
        <family val="2"/>
        <charset val="204"/>
      </rPr>
      <t>технически услуги</t>
    </r>
  </si>
  <si>
    <t>27  10</t>
  </si>
  <si>
    <t>27  11</t>
  </si>
  <si>
    <r>
      <t xml:space="preserve">        за </t>
    </r>
    <r>
      <rPr>
        <b/>
        <i/>
        <sz val="10"/>
        <color indexed="8"/>
        <rFont val="Arial"/>
        <family val="2"/>
        <charset val="204"/>
      </rPr>
      <t>откупуване на гробни места</t>
    </r>
  </si>
  <si>
    <t>27  15</t>
  </si>
  <si>
    <r>
      <t xml:space="preserve">        за </t>
    </r>
    <r>
      <rPr>
        <b/>
        <sz val="10"/>
        <color indexed="8"/>
        <rFont val="Arial"/>
        <family val="2"/>
        <charset val="204"/>
      </rPr>
      <t>притежаване на куче</t>
    </r>
  </si>
  <si>
    <t>27  17</t>
  </si>
  <si>
    <r>
      <t xml:space="preserve">        други </t>
    </r>
    <r>
      <rPr>
        <b/>
        <i/>
        <sz val="10"/>
        <color indexed="8"/>
        <rFont val="Arial"/>
        <family val="2"/>
        <charset val="204"/>
      </rPr>
      <t>общински такси</t>
    </r>
  </si>
  <si>
    <t>27  29</t>
  </si>
  <si>
    <t>28  00</t>
  </si>
  <si>
    <t>28  02</t>
  </si>
  <si>
    <t xml:space="preserve">        наказатенлни лихви за данъци, мита и осигурителни воски</t>
  </si>
  <si>
    <t>28 09</t>
  </si>
  <si>
    <t>36  00</t>
  </si>
  <si>
    <r>
      <t xml:space="preserve">        реализирани курсови разлики</t>
    </r>
    <r>
      <rPr>
        <sz val="10"/>
        <color indexed="8"/>
        <rFont val="Arial"/>
        <family val="2"/>
        <charset val="204"/>
      </rPr>
      <t xml:space="preserve"> от валутни операции (нето) (+/-)</t>
    </r>
  </si>
  <si>
    <t>36  01</t>
  </si>
  <si>
    <r>
      <t xml:space="preserve">        получени </t>
    </r>
    <r>
      <rPr>
        <b/>
        <i/>
        <sz val="10"/>
        <color indexed="8"/>
        <rFont val="Arial"/>
        <family val="2"/>
        <charset val="204"/>
      </rPr>
      <t>застрахователни обезщетения за ДМА</t>
    </r>
  </si>
  <si>
    <t>36  11</t>
  </si>
  <si>
    <r>
      <t xml:space="preserve">        получени </t>
    </r>
    <r>
      <rPr>
        <b/>
        <i/>
        <sz val="10"/>
        <color indexed="8"/>
        <rFont val="Arial"/>
        <family val="2"/>
        <charset val="204"/>
      </rPr>
      <t>други застрахователни обезщетения</t>
    </r>
  </si>
  <si>
    <t>36  12</t>
  </si>
  <si>
    <r>
      <t xml:space="preserve">        </t>
    </r>
    <r>
      <rPr>
        <b/>
        <i/>
        <sz val="10"/>
        <color indexed="8"/>
        <rFont val="Arial"/>
        <family val="2"/>
        <charset val="204"/>
      </rPr>
      <t>коректив за касови посъпления</t>
    </r>
    <r>
      <rPr>
        <sz val="10"/>
        <color indexed="8"/>
        <rFont val="Arial"/>
        <family val="2"/>
        <charset val="204"/>
      </rPr>
      <t xml:space="preserve"> (-)</t>
    </r>
  </si>
  <si>
    <t>36  18</t>
  </si>
  <si>
    <t>36  19</t>
  </si>
  <si>
    <t>37  00</t>
  </si>
  <si>
    <t xml:space="preserve">          внесен ДДС (-)</t>
  </si>
  <si>
    <t>37  01</t>
  </si>
  <si>
    <t>37  02</t>
  </si>
  <si>
    <t>Приходи от концесии</t>
  </si>
  <si>
    <t>41  00</t>
  </si>
  <si>
    <t>45  00</t>
  </si>
  <si>
    <t>45  01</t>
  </si>
  <si>
    <r>
      <t xml:space="preserve">     капиталови </t>
    </r>
    <r>
      <rPr>
        <sz val="10"/>
        <color indexed="8"/>
        <rFont val="Arial"/>
        <family val="2"/>
        <charset val="204"/>
      </rPr>
      <t>помощи и дарения от</t>
    </r>
    <r>
      <rPr>
        <b/>
        <i/>
        <sz val="10"/>
        <color indexed="8"/>
        <rFont val="Arial"/>
        <family val="2"/>
        <charset val="204"/>
      </rPr>
      <t xml:space="preserve"> страната</t>
    </r>
  </si>
  <si>
    <t>45  03</t>
  </si>
  <si>
    <t>Помощи и дарения от чужбина</t>
  </si>
  <si>
    <t>46 00</t>
  </si>
  <si>
    <r>
      <t xml:space="preserve"> текущи</t>
    </r>
    <r>
      <rPr>
        <sz val="10"/>
        <color indexed="8"/>
        <rFont val="Arial"/>
        <family val="2"/>
        <charset val="204"/>
      </rPr>
      <t xml:space="preserve"> помощи и дарения от чужбина</t>
    </r>
  </si>
  <si>
    <t xml:space="preserve"> 46 70</t>
  </si>
  <si>
    <r>
      <t xml:space="preserve"> други капиталови </t>
    </r>
    <r>
      <rPr>
        <sz val="10"/>
        <color indexed="8"/>
        <rFont val="Arial"/>
        <family val="2"/>
        <charset val="204"/>
      </rPr>
      <t>помощи и дарения от чужбина</t>
    </r>
  </si>
  <si>
    <t>46 80</t>
  </si>
  <si>
    <t>Постъпления от продажба на нефинансови активи</t>
  </si>
  <si>
    <t>40  00</t>
  </si>
  <si>
    <r>
      <t xml:space="preserve">        постъпления от продажба на </t>
    </r>
    <r>
      <rPr>
        <b/>
        <i/>
        <sz val="10"/>
        <color indexed="8"/>
        <rFont val="Arial"/>
        <family val="2"/>
        <charset val="204"/>
      </rPr>
      <t>сгради</t>
    </r>
  </si>
  <si>
    <t>40  22</t>
  </si>
  <si>
    <r>
      <t xml:space="preserve">        постъпления от продажба на </t>
    </r>
    <r>
      <rPr>
        <b/>
        <i/>
        <sz val="10"/>
        <color indexed="8"/>
        <rFont val="Arial"/>
        <family val="2"/>
        <charset val="204"/>
      </rPr>
      <t>друго оборудване, машини и съоръжения</t>
    </r>
  </si>
  <si>
    <t>40  23</t>
  </si>
  <si>
    <r>
      <t xml:space="preserve">        постъпления от продажба на </t>
    </r>
    <r>
      <rPr>
        <b/>
        <i/>
        <sz val="10"/>
        <color indexed="8"/>
        <rFont val="Arial"/>
        <family val="2"/>
        <charset val="204"/>
      </rPr>
      <t xml:space="preserve">транспортни средства </t>
    </r>
  </si>
  <si>
    <t>40  24</t>
  </si>
  <si>
    <r>
      <t xml:space="preserve">        постъпления от продажба на </t>
    </r>
    <r>
      <rPr>
        <b/>
        <i/>
        <sz val="10"/>
        <color indexed="8"/>
        <rFont val="Arial"/>
        <family val="2"/>
        <charset val="204"/>
      </rPr>
      <t>други ДМА</t>
    </r>
    <r>
      <rPr>
        <sz val="10"/>
        <color indexed="8"/>
        <rFont val="Arial"/>
        <family val="2"/>
        <charset val="204"/>
      </rPr>
      <t xml:space="preserve"> </t>
    </r>
  </si>
  <si>
    <t>40  29</t>
  </si>
  <si>
    <r>
      <t xml:space="preserve">        постъпление от продажба на </t>
    </r>
    <r>
      <rPr>
        <b/>
        <i/>
        <sz val="10"/>
        <color indexed="8"/>
        <rFont val="Arial"/>
        <family val="2"/>
        <charset val="204"/>
      </rPr>
      <t>нематeриални дълготрайни активи</t>
    </r>
  </si>
  <si>
    <t>40  30</t>
  </si>
  <si>
    <r>
      <t xml:space="preserve">        постъпления от продажба на </t>
    </r>
    <r>
      <rPr>
        <b/>
        <i/>
        <sz val="10"/>
        <color indexed="8"/>
        <rFont val="Arial"/>
        <family val="2"/>
        <charset val="204"/>
      </rPr>
      <t>земя</t>
    </r>
  </si>
  <si>
    <t>40  40</t>
  </si>
  <si>
    <t>ОБЩО НЕДАНЪЧНИ ПРИХОДИ:</t>
  </si>
  <si>
    <t>31  00</t>
  </si>
  <si>
    <t>трансфери от/за  ЦБ (+/-)</t>
  </si>
  <si>
    <r>
      <t xml:space="preserve">        </t>
    </r>
    <r>
      <rPr>
        <b/>
        <sz val="10"/>
        <color indexed="8"/>
        <rFont val="Arial"/>
        <family val="2"/>
        <charset val="204"/>
      </rPr>
      <t>обща</t>
    </r>
    <r>
      <rPr>
        <b/>
        <i/>
        <sz val="10"/>
        <color indexed="8"/>
        <rFont val="Arial"/>
        <family val="2"/>
        <charset val="204"/>
      </rPr>
      <t xml:space="preserve"> изравнителна </t>
    </r>
    <r>
      <rPr>
        <b/>
        <sz val="10"/>
        <color indexed="8"/>
        <rFont val="Arial"/>
        <family val="2"/>
        <charset val="204"/>
      </rPr>
      <t xml:space="preserve">субсидия и други трансфери </t>
    </r>
    <r>
      <rPr>
        <sz val="10"/>
        <color indexed="8"/>
        <rFont val="Arial"/>
        <family val="2"/>
        <charset val="204"/>
      </rPr>
      <t xml:space="preserve">за </t>
    </r>
    <r>
      <rPr>
        <i/>
        <sz val="10"/>
        <color indexed="8"/>
        <rFont val="Arial"/>
        <family val="2"/>
        <charset val="204"/>
      </rPr>
      <t>местни</t>
    </r>
    <r>
      <rPr>
        <sz val="10"/>
        <color indexed="8"/>
        <rFont val="Arial"/>
        <family val="2"/>
        <charset val="204"/>
      </rPr>
      <t xml:space="preserve"> дейности от ЦБ за общини (+)</t>
    </r>
  </si>
  <si>
    <t>31 12</t>
  </si>
  <si>
    <t xml:space="preserve">                               обща изравнителна субсидия</t>
  </si>
  <si>
    <t xml:space="preserve">                              трансфер за зимно поддържане</t>
  </si>
  <si>
    <r>
      <t xml:space="preserve">     получени от общини целеви субсидии от ЦБ за </t>
    </r>
    <r>
      <rPr>
        <b/>
        <i/>
        <sz val="10"/>
        <color indexed="8"/>
        <rFont val="Arial"/>
        <family val="2"/>
        <charset val="204"/>
      </rPr>
      <t>капиталови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разходи (+)</t>
    </r>
  </si>
  <si>
    <r>
      <t xml:space="preserve">       получени от общини целеви трансфери от ЦБ чрез  кодовете в СЕБРА</t>
    </r>
    <r>
      <rPr>
        <b/>
        <i/>
        <sz val="10"/>
        <color indexed="8"/>
        <rFont val="Arial"/>
        <family val="2"/>
        <charset val="204"/>
      </rPr>
      <t xml:space="preserve"> 488 001 ххх-х</t>
    </r>
  </si>
  <si>
    <t>Трансфери  между бюджети /нето/</t>
  </si>
  <si>
    <t xml:space="preserve">    трансфери  между бюджети-получени трансфери  (+)</t>
  </si>
  <si>
    <t xml:space="preserve">    трансфери  между бюджети- предоставени трансфери  (-)</t>
  </si>
  <si>
    <t>Трансфери  между бюджети и  сметки за средства от ЕС</t>
  </si>
  <si>
    <t xml:space="preserve">   получени трансфери (+)</t>
  </si>
  <si>
    <t xml:space="preserve">   предоставени трансфери (-)</t>
  </si>
  <si>
    <t xml:space="preserve">Трансфери от/за държавни предприятия и други лица, включени в консолидираната фискална програма </t>
  </si>
  <si>
    <t xml:space="preserve">     получени трансфери /+/</t>
  </si>
  <si>
    <t xml:space="preserve">     предоставени трансфери (-)</t>
  </si>
  <si>
    <t>64 02</t>
  </si>
  <si>
    <t xml:space="preserve">Трансфери от/за  сметки за чужди средства </t>
  </si>
  <si>
    <t>67 00</t>
  </si>
  <si>
    <t>получени транфери (-)</t>
  </si>
  <si>
    <t>67 01</t>
  </si>
  <si>
    <t>предоставени транфери (-)</t>
  </si>
  <si>
    <t>67 02</t>
  </si>
  <si>
    <t>Временни безл. заеми м/у бюджети и сметки за средствата от Европейски съюз (нето) (+/-)</t>
  </si>
  <si>
    <t>76 00</t>
  </si>
  <si>
    <t>ОБЩО БЕЗЛИХВЕНИ ЗАЕМИ:</t>
  </si>
  <si>
    <t>Придобиване на дялове, акции и съучастия /нето/</t>
  </si>
  <si>
    <t>70 00</t>
  </si>
  <si>
    <r>
      <t xml:space="preserve"> придобиване на </t>
    </r>
    <r>
      <rPr>
        <b/>
        <i/>
        <sz val="10"/>
        <color indexed="8"/>
        <rFont val="Arial"/>
        <family val="2"/>
        <charset val="204"/>
      </rPr>
      <t xml:space="preserve">дялове, акции </t>
    </r>
    <r>
      <rPr>
        <sz val="10"/>
        <color indexed="8"/>
        <rFont val="Arial"/>
        <family val="2"/>
        <charset val="204"/>
      </rPr>
      <t>и увеличаване на капитала и капит.резерви (-)</t>
    </r>
  </si>
  <si>
    <t>70 01</t>
  </si>
  <si>
    <t xml:space="preserve">Предоставена възмездан финансова помощ  (нето) </t>
  </si>
  <si>
    <t>72 00</t>
  </si>
  <si>
    <t>предоставени средства по възмездна финансова помощ (-)</t>
  </si>
  <si>
    <t>72 01</t>
  </si>
  <si>
    <t xml:space="preserve">Възстановени средства по възмездан финансова помощ  (+) </t>
  </si>
  <si>
    <t>72 02</t>
  </si>
  <si>
    <r>
      <t xml:space="preserve">Заеми от банки и други лица в страната - </t>
    </r>
    <r>
      <rPr>
        <b/>
        <i/>
        <sz val="10"/>
        <color indexed="8"/>
        <rFont val="Arial"/>
        <family val="2"/>
        <charset val="204"/>
      </rPr>
      <t xml:space="preserve">нето </t>
    </r>
    <r>
      <rPr>
        <sz val="10"/>
        <color indexed="8"/>
        <rFont val="Arial"/>
        <family val="2"/>
        <charset val="204"/>
      </rPr>
      <t>(</t>
    </r>
    <r>
      <rPr>
        <b/>
        <i/>
        <sz val="10"/>
        <color indexed="8"/>
        <rFont val="Arial"/>
        <family val="2"/>
        <charset val="204"/>
      </rPr>
      <t>+</t>
    </r>
    <r>
      <rPr>
        <b/>
        <sz val="10"/>
        <color indexed="8"/>
        <rFont val="Arial"/>
        <family val="2"/>
        <charset val="204"/>
      </rPr>
      <t>/</t>
    </r>
    <r>
      <rPr>
        <i/>
        <sz val="10"/>
        <color indexed="8"/>
        <rFont val="Arial"/>
        <family val="2"/>
        <charset val="204"/>
      </rPr>
      <t>-</t>
    </r>
    <r>
      <rPr>
        <sz val="10"/>
        <color indexed="8"/>
        <rFont val="Arial"/>
        <family val="2"/>
        <charset val="204"/>
      </rPr>
      <t>)</t>
    </r>
  </si>
  <si>
    <t>83 00</t>
  </si>
  <si>
    <r>
      <t xml:space="preserve">  получени краткосрочни заеми от </t>
    </r>
    <r>
      <rPr>
        <b/>
        <i/>
        <sz val="10"/>
        <color indexed="8"/>
        <rFont val="Arial"/>
        <family val="2"/>
        <charset val="204"/>
      </rPr>
      <t>банки</t>
    </r>
    <r>
      <rPr>
        <sz val="10"/>
        <color indexed="8"/>
        <rFont val="Arial"/>
        <family val="2"/>
        <charset val="204"/>
      </rPr>
      <t xml:space="preserve"> в страната</t>
    </r>
    <r>
      <rPr>
        <b/>
        <sz val="10"/>
        <color indexed="8"/>
        <rFont val="Arial"/>
        <family val="2"/>
        <charset val="204"/>
      </rPr>
      <t xml:space="preserve"> (+)</t>
    </r>
  </si>
  <si>
    <t>83 11</t>
  </si>
  <si>
    <r>
      <t xml:space="preserve">  получени дългосрочни.заеми от </t>
    </r>
    <r>
      <rPr>
        <b/>
        <i/>
        <sz val="10"/>
        <color indexed="8"/>
        <rFont val="Arial"/>
        <family val="2"/>
        <charset val="204"/>
      </rPr>
      <t>банки</t>
    </r>
    <r>
      <rPr>
        <sz val="10"/>
        <color indexed="8"/>
        <rFont val="Arial"/>
        <family val="2"/>
        <charset val="204"/>
      </rPr>
      <t xml:space="preserve"> в страната</t>
    </r>
    <r>
      <rPr>
        <b/>
        <sz val="10"/>
        <color indexed="8"/>
        <rFont val="Arial"/>
        <family val="2"/>
        <charset val="204"/>
      </rPr>
      <t xml:space="preserve"> (+)</t>
    </r>
  </si>
  <si>
    <t>83 12</t>
  </si>
  <si>
    <r>
      <t xml:space="preserve">  погашения</t>
    </r>
    <r>
      <rPr>
        <b/>
        <i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по</t>
    </r>
    <r>
      <rPr>
        <b/>
        <i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краткосрочни заеми от </t>
    </r>
    <r>
      <rPr>
        <b/>
        <i/>
        <sz val="10"/>
        <color indexed="8"/>
        <rFont val="Arial"/>
        <family val="2"/>
        <charset val="204"/>
      </rPr>
      <t>банки</t>
    </r>
    <r>
      <rPr>
        <sz val="10"/>
        <color indexed="8"/>
        <rFont val="Arial"/>
        <family val="2"/>
        <charset val="204"/>
      </rPr>
      <t xml:space="preserve"> в страната (-)</t>
    </r>
  </si>
  <si>
    <t>83 21</t>
  </si>
  <si>
    <r>
      <t xml:space="preserve">  погашения</t>
    </r>
    <r>
      <rPr>
        <b/>
        <i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по</t>
    </r>
    <r>
      <rPr>
        <b/>
        <i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дългосрочни заеми от </t>
    </r>
    <r>
      <rPr>
        <b/>
        <i/>
        <sz val="10"/>
        <color indexed="8"/>
        <rFont val="Arial"/>
        <family val="2"/>
        <charset val="204"/>
      </rPr>
      <t>банки</t>
    </r>
    <r>
      <rPr>
        <sz val="10"/>
        <color indexed="8"/>
        <rFont val="Arial"/>
        <family val="2"/>
        <charset val="204"/>
      </rPr>
      <t xml:space="preserve"> в страната (-)</t>
    </r>
  </si>
  <si>
    <t>83 22</t>
  </si>
  <si>
    <r>
      <t xml:space="preserve">  получени дългосрочни.заеми от други лица в стараната (+) - </t>
    </r>
    <r>
      <rPr>
        <b/>
        <sz val="10"/>
        <rFont val="Arial"/>
        <family val="2"/>
        <charset val="204"/>
      </rPr>
      <t>ФУГР,ФЛАГ ЕАД-2023</t>
    </r>
  </si>
  <si>
    <t>83 72</t>
  </si>
  <si>
    <r>
      <t xml:space="preserve">  погашения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дългосрочни заеми от </t>
    </r>
    <r>
      <rPr>
        <b/>
        <i/>
        <sz val="10"/>
        <rFont val="Arial"/>
        <family val="2"/>
        <charset val="204"/>
      </rPr>
      <t>други лица</t>
    </r>
    <r>
      <rPr>
        <sz val="10"/>
        <rFont val="Arial"/>
        <family val="2"/>
        <charset val="204"/>
      </rPr>
      <t xml:space="preserve"> в страната (-) </t>
    </r>
    <r>
      <rPr>
        <b/>
        <sz val="10"/>
        <rFont val="Arial"/>
        <family val="2"/>
        <charset val="204"/>
      </rPr>
      <t>ФЛАГ ЕАД и ФУГР</t>
    </r>
  </si>
  <si>
    <t>83 82</t>
  </si>
  <si>
    <t>Събрани средтва и извършени плащания за сметка на други бюджети, сметки и фондове-нето (+/-)</t>
  </si>
  <si>
    <r>
      <t xml:space="preserve">събрани средства и извършени плащания </t>
    </r>
    <r>
      <rPr>
        <i/>
        <sz val="10"/>
        <color indexed="8"/>
        <rFont val="Arial"/>
        <family val="2"/>
        <charset val="204"/>
      </rPr>
      <t>от/за бюджети по държавния бюджет (+/-)</t>
    </r>
  </si>
  <si>
    <t>88 02</t>
  </si>
  <si>
    <t xml:space="preserve"> </t>
  </si>
  <si>
    <r>
      <t xml:space="preserve"> събрани средства и извършени плащания </t>
    </r>
    <r>
      <rPr>
        <b/>
        <i/>
        <sz val="10"/>
        <color indexed="8"/>
        <rFont val="Arial"/>
        <family val="2"/>
        <charset val="204"/>
      </rPr>
      <t>от/за сметки за средства от Европейския съюз</t>
    </r>
    <r>
      <rPr>
        <sz val="10"/>
        <color indexed="8"/>
        <rFont val="Arial"/>
        <family val="2"/>
        <charset val="204"/>
      </rPr>
      <t xml:space="preserve"> (+/-) (Финансова програма-Хоризонт 2020)</t>
    </r>
  </si>
  <si>
    <t xml:space="preserve"> събрани средства и извършени плащания от /за други бюджети (+/-)</t>
  </si>
  <si>
    <t>88 09</t>
  </si>
  <si>
    <t>Друго финансиране /нето/</t>
  </si>
  <si>
    <r>
      <t xml:space="preserve">  </t>
    </r>
    <r>
      <rPr>
        <b/>
        <i/>
        <sz val="10"/>
        <color indexed="8"/>
        <rFont val="Arial"/>
        <family val="2"/>
        <charset val="204"/>
      </rPr>
      <t xml:space="preserve"> друго</t>
    </r>
    <r>
      <rPr>
        <sz val="10"/>
        <color indexed="8"/>
        <rFont val="Arial"/>
        <family val="2"/>
        <charset val="204"/>
      </rPr>
      <t xml:space="preserve"> финансиране-операции с активи-предоставени временни депозити и гаранции на други бюджетни организации (+/-) </t>
    </r>
  </si>
  <si>
    <t>93 36</t>
  </si>
  <si>
    <t>Депозити и средства по сметки (нето) (+/-)</t>
  </si>
  <si>
    <r>
      <t xml:space="preserve">   остатък</t>
    </r>
    <r>
      <rPr>
        <sz val="10"/>
        <color indexed="8"/>
        <rFont val="Arial"/>
        <family val="2"/>
        <charset val="204"/>
      </rPr>
      <t xml:space="preserve"> в левове по сметки от </t>
    </r>
    <r>
      <rPr>
        <b/>
        <i/>
        <sz val="10"/>
        <color indexed="8"/>
        <rFont val="Arial"/>
        <family val="2"/>
        <charset val="204"/>
      </rPr>
      <t>предходния период</t>
    </r>
    <r>
      <rPr>
        <sz val="10"/>
        <color indexed="8"/>
        <rFont val="Arial"/>
        <family val="2"/>
        <charset val="204"/>
      </rPr>
      <t xml:space="preserve"> (+)</t>
    </r>
  </si>
  <si>
    <r>
      <t xml:space="preserve">   остатък </t>
    </r>
    <r>
      <rPr>
        <sz val="10"/>
        <color indexed="8"/>
        <rFont val="Arial"/>
        <family val="2"/>
        <charset val="204"/>
      </rPr>
      <t xml:space="preserve">в левове по </t>
    </r>
    <r>
      <rPr>
        <i/>
        <sz val="10"/>
        <color indexed="8"/>
        <rFont val="Arial"/>
        <family val="2"/>
        <charset val="204"/>
      </rPr>
      <t>депозити от предходния период</t>
    </r>
    <r>
      <rPr>
        <sz val="10"/>
        <color indexed="8"/>
        <rFont val="Arial"/>
        <family val="2"/>
        <charset val="204"/>
      </rPr>
      <t xml:space="preserve"> (+)</t>
    </r>
  </si>
  <si>
    <r>
      <t xml:space="preserve"> остатък </t>
    </r>
    <r>
      <rPr>
        <sz val="10"/>
        <color indexed="8"/>
        <rFont val="Arial"/>
        <family val="2"/>
        <charset val="204"/>
      </rPr>
      <t>в касата в левове от предходния период (+)</t>
    </r>
  </si>
  <si>
    <t>95 05</t>
  </si>
  <si>
    <t xml:space="preserve"> наличност в левове по сметки в края на периода (-)</t>
  </si>
  <si>
    <t xml:space="preserve"> наличност в левове по депозити в края на периода (-)</t>
  </si>
  <si>
    <t>95-09</t>
  </si>
  <si>
    <t>наличност в касата в левове в края на периода (-)</t>
  </si>
  <si>
    <t>РАЗЧЕТ ЗА ФИНАНСИРАНЕ НА КАПИТАЛОВИТЕ РАЗХОДИ НА ОБЩИНА АСЕНОВГРАД ЗА 2024 г.</t>
  </si>
  <si>
    <t>№ по ред</t>
  </si>
  <si>
    <t>ФУНКЦИЯ, ДЕЙНОСТ , ОБЕКТ</t>
  </si>
  <si>
    <t>ОБЩО  БЮДЖЕТНИ СРЕДСТВА</t>
  </si>
  <si>
    <t xml:space="preserve">Средства от ЕС </t>
  </si>
  <si>
    <t xml:space="preserve"> ФУНКЦИЯ I - ОБЩИ ДЪРЖАВНИ СЛУЖБИ</t>
  </si>
  <si>
    <t>ОБЩИНСКА АДМИНИСТРАЦИЯ</t>
  </si>
  <si>
    <t>ПРЕХОДНИ ОБЕКТИ</t>
  </si>
  <si>
    <t>Изграждане на административна сграда в кв.Д.Воден (Етап I - груб строеж)</t>
  </si>
  <si>
    <t>Управление на общински капацитет</t>
  </si>
  <si>
    <t>НОВИ ОБЕКТИ</t>
  </si>
  <si>
    <t>Изграждане на фотоволтаична система на административна сграда Община Асеновград - проектиране и изграждане</t>
  </si>
  <si>
    <t>Автомобил за нуждите на общинска администрация</t>
  </si>
  <si>
    <t>Закупуване на продукт за телбодиране за мултифунционален цветен принтер А3 и лаптоп за нуждите на Общински съвет - Асеновград</t>
  </si>
  <si>
    <t>Ремонт на зала на Общински съвет-Асеновград</t>
  </si>
  <si>
    <t>ФУНКЦИЯ IIІ - ОБРАЗОВАНИЕ</t>
  </si>
  <si>
    <t>ДЕТСКИ ГРАДИНИ</t>
  </si>
  <si>
    <t xml:space="preserve">Ремонт настилка в двора на ДГ  "Дружба"  гр.Асеновград </t>
  </si>
  <si>
    <t>Изграждане нова сграда на детска градина в кв.Изток, гр.Асеновград / §3118-трансфер от ЦБ/</t>
  </si>
  <si>
    <t>Основен ремонт на дворно пространство на ДГ "Н.Вапцаров", гр. Асеновград - проектиране и изграждане</t>
  </si>
  <si>
    <t>НЕСПЕЦИАЛИЗИРАНИ УЧИЛИЩА</t>
  </si>
  <si>
    <r>
      <t xml:space="preserve">Изграждане на игрище за мини - футбол в двора на ОУ "Христо Ботев", гр. Асеновград - </t>
    </r>
    <r>
      <rPr>
        <b/>
        <sz val="14"/>
        <rFont val="Arial Cyr"/>
        <charset val="204"/>
      </rPr>
      <t>ФО-65/20.09.2022 г. §3118</t>
    </r>
  </si>
  <si>
    <r>
      <t xml:space="preserve">Изграждане на комбинирана спортна площадка за волейбол и баскетбол в двора на ОУ "Отец Паисий", гр. Асеновград- </t>
    </r>
    <r>
      <rPr>
        <b/>
        <sz val="14"/>
        <rFont val="Arial Cyr"/>
        <charset val="204"/>
      </rPr>
      <t>ФО-65/20.09.2022г. §3118</t>
    </r>
  </si>
  <si>
    <t>Ремонт и оборудване на физкултурен салон на СУ "Св.княз БорисI" - (трансфер от М-во на спорта-2022г.)</t>
  </si>
  <si>
    <t>Довършване на сградата на физкултурен салон в ОУ "Панайот Волов", кв.Долни Воден, гр.Асеновград (допълнително от местни приходи)</t>
  </si>
  <si>
    <t>Изграждане на поливна система в двора на СУ "Св. Княз Борис I" /разрешително за водовземане/</t>
  </si>
  <si>
    <t>Газификация на физкултурен салон на ОУ "Панайот Волов", кв. Долни Воден, гр. Асеновград</t>
  </si>
  <si>
    <t>Осигуряване достъпна среда - салон на ОУ "Панайот Волов", кв. Долни Воден, гр. Асеновград</t>
  </si>
  <si>
    <t>Връзка между сградите на физкултурен салон салон и основна сграда на ОУ "Панайот Волов", кв. Долни Воден, гр. Асеновград</t>
  </si>
  <si>
    <r>
      <t xml:space="preserve">Изграждане на спортна площадка в двора на ОУ "Ангел Кънчев", гр. Асеновград - </t>
    </r>
    <r>
      <rPr>
        <b/>
        <sz val="14"/>
        <rFont val="Arial Cyr"/>
        <charset val="204"/>
      </rPr>
      <t>ФО-71 по ПМС 300/2023г. §3118</t>
    </r>
  </si>
  <si>
    <t>Модернизация на образователната среда в ДГ "Асенова крепост", гр. Асеновград</t>
  </si>
  <si>
    <t>ДРУГИ ДЕЙНОСТИ ЗА МЛАДЕЖТА</t>
  </si>
  <si>
    <t>Изграждане на младежки център в град Асеновград</t>
  </si>
  <si>
    <t>ФУНКЦИЯ IV - ЗДРАВЕОПАЗВАНЕ</t>
  </si>
  <si>
    <t>МБАЛ</t>
  </si>
  <si>
    <t xml:space="preserve">Проектиране, изпълнение на СМР, доставка и монтаж на генераторна система за кислород с медицинско приложение за лечение на болни с COVID-19 за МБАЛ Асеновград ЕООД </t>
  </si>
  <si>
    <t>ФУНКЦИЯ V - СОПГ</t>
  </si>
  <si>
    <t>ЦНСТ - Асеновград</t>
  </si>
  <si>
    <t xml:space="preserve">Компютърни конфигурации за нуждите на ЦНСТ- Асеновград </t>
  </si>
  <si>
    <t xml:space="preserve">Програмен продукт за нуждите на ЦНСТ- Асеновград </t>
  </si>
  <si>
    <t>Соларни панели за нуждите на ЦНСТПЛУИ- Асеновград</t>
  </si>
  <si>
    <t>ЦНСТ - Нареченски бани</t>
  </si>
  <si>
    <t>Реновиране на детска площадка в двора на ЦНСТ - Нареченски бани, проектиране и изграждане</t>
  </si>
  <si>
    <t>Климатик за фитнес зала за ЦНСТ - Нареченски бани</t>
  </si>
  <si>
    <t>Дневни центрове за лица с увреждания</t>
  </si>
  <si>
    <t>Дворно пространство на ДЦДУ - Асеновград, проектиране и изграждане</t>
  </si>
  <si>
    <t>Компютърни конфигурации за нуждите на ДЦДУ - Асеновград - 2 бр.</t>
  </si>
  <si>
    <t>Закупуване на софтуерни продукти за ДЦПЛТМУ - Асеновград</t>
  </si>
  <si>
    <t>Компютърни конфигурации за нуждите на ДЦПЛТМУ - Асеновград</t>
  </si>
  <si>
    <t>Асистенти за лична помощ</t>
  </si>
  <si>
    <t>Лек автомобил ( за асистенти за лична помощ)</t>
  </si>
  <si>
    <t>Климатик за Асистенстска подкрепа</t>
  </si>
  <si>
    <t>Принтери, скенер и мултифунционално устройство за Асистенстска подкрепа</t>
  </si>
  <si>
    <t>Център за обществена подкрепа</t>
  </si>
  <si>
    <t>Комютри и програмни продукти за ОЦДС - Асеновград</t>
  </si>
  <si>
    <t>ФУНКЦИЯ VІ - ЖИЛИЩНО СТРОИТЕЛСТВО И БКС</t>
  </si>
  <si>
    <t>ВОДОСНАБДЯВАНЕ И КАНАЛИЗАЦИЯ</t>
  </si>
  <si>
    <t xml:space="preserve">Изграждане на нов хоризонтален дренаж и довеждащ водопровод за допълнително водоснабдяване на село Червен, общ. Асеновград </t>
  </si>
  <si>
    <t xml:space="preserve"> Изграждане на водопровод и канализация в нов кв. "Баделема"- I етап</t>
  </si>
  <si>
    <t xml:space="preserve">Изграждане на помпена станция  за довеждащ водопровод за допълнително водоснабдяване на село Червен, общ. Асеновград </t>
  </si>
  <si>
    <t>Допълнително водохващане към каптаж "Пещурите", с Тополово - проучване и проектиране</t>
  </si>
  <si>
    <t>Проектиране на канализация в местност "Под селото - II-ри етап</t>
  </si>
  <si>
    <t>Проектиране на каналзиация на второстепенна улица с кадастрален идентификатор ПИ 00702.506.68 по КК на гр. Асеновград (ПЗ Север)</t>
  </si>
  <si>
    <t>ОСВЕТЛЕНИЕ УЛИЦИ</t>
  </si>
  <si>
    <t>Внедряване на мерки за енергийна ефективност в системата на външно изкуствено осветление в гр. Асеновград</t>
  </si>
  <si>
    <t>ИЗГРАЖДАНЕ И РЕМОНТ НА УЛИЧНАТА МРЕЖА</t>
  </si>
  <si>
    <t>ОР на ул. "Анастас Ташев" и ул. "Караджа Войвода", с. Орешец - подмяна на водопровод /съвместно с ВиК/</t>
  </si>
  <si>
    <t>ОР на ул. "Марциганица", с. Добростан /Етап I/</t>
  </si>
  <si>
    <t>ОР на ул. "Чая" /участък от ул. "Лозенград до ул. "Тракия", с. Козаново</t>
  </si>
  <si>
    <t>ОР на ул. "Лозенград" /участък от ул. "Чая" до ул. "40-те извора", с. Козаново, гр. Асеновград</t>
  </si>
  <si>
    <t>ОР на ул. "Александър Стамболийски" и ул. "Георги Бенковски", с. Горнослав</t>
  </si>
  <si>
    <t>ОР на ул. "Хр. Ботев" от кръстовище на № 35 до № 47 и разклонение при ул. "Хр. Смирненски", с. Мостово</t>
  </si>
  <si>
    <t>ОР ул. "Тунджа" в участъка от ул. "Хр. Смирненски" до ул. "Елин Пелин", гр. Асеновград</t>
  </si>
  <si>
    <t>ОР на ул. "Спортист", с. Тополово - I етап</t>
  </si>
  <si>
    <t>ул. "Къпина", кв.Долни Воден</t>
  </si>
  <si>
    <t>Тротоар на ул. "Проф.Асен Златаров"от №2 до входа на бившето ТКЗС,  с. Боянци</t>
  </si>
  <si>
    <t>ул. "Марциганица", с. Добростан / 2-ри етап/</t>
  </si>
  <si>
    <t>Чакълиране на ул. "Речна", с. Избеглии</t>
  </si>
  <si>
    <t>ул. "Осма " и кръстовището с ул. "Седма", с. Нови Извор</t>
  </si>
  <si>
    <t xml:space="preserve">ул. "Родопи", с. Конуш </t>
  </si>
  <si>
    <t>ул. "3- ти март" /от ПИ № 43298.502.112 до кръстовище с ул. "Рожен"/, с.Леново</t>
  </si>
  <si>
    <t>ул. "Кирил и Методий", с. Лясково</t>
  </si>
  <si>
    <t>Трошено-каменна настилка на ул."Стефан Караджа", с. Мостово</t>
  </si>
  <si>
    <t>ул. "Юри Гагарин", с. Мостово</t>
  </si>
  <si>
    <t>Подпорна стена и трошенокаменна настилка на ул. "Св  Петка", с. Мулдава</t>
  </si>
  <si>
    <t>ул. "Илинден", от ул.Асеница до моста, с. Мулдава</t>
  </si>
  <si>
    <t>ул. "Подем"/от ул. "Драва" до път II - 86/, с. Новаково</t>
  </si>
  <si>
    <t>ул. "Анастас Ташев" /от № 35 до № 49/, с. Орешец</t>
  </si>
  <si>
    <t>ул. "Славянска" /от ул. "Възраждане" до ул. "Елин Пелин"/, Патриарх Евтимово</t>
  </si>
  <si>
    <t>ул. "Бреза" , с. Стоево</t>
  </si>
  <si>
    <t>Тротоари на ул."Еделвайс", с. Стоево</t>
  </si>
  <si>
    <t>ул. "Първомайска", гр. Асеновград</t>
  </si>
  <si>
    <t>ул."Александър Батенберг", гр. Асеновград</t>
  </si>
  <si>
    <t>ул. "Хаджи Димитър Стоилов", гр. Асеновград</t>
  </si>
  <si>
    <t>ул. "Ген. Дандевил /от ул."Велико Търново" до ул."Солунска"/ и ул. "Солунска", гр. Асеновград</t>
  </si>
  <si>
    <t>ул."Света Неделя" от ул. "Горнославска" до ул."Хан Крум", с. Тополово</t>
  </si>
  <si>
    <t>ул."В.Априлов", с. Тополово</t>
  </si>
  <si>
    <t>ул."Волов", гр. Асеновград</t>
  </si>
  <si>
    <t>Тротоарна настилка на бул. "България", от ул. "Марица" до кръгово на бензиностанция ШЕЛ</t>
  </si>
  <si>
    <t>Ул. "Акация" - пътна настилка</t>
  </si>
  <si>
    <t>Реконструкция на ул. "Георги Данчов",гр. Асеновград - проектиране и изграждане</t>
  </si>
  <si>
    <t>Реконструкция на ул. "Козановска шосе",гр. Асеновград - участъка от ул. "Цар Иван Асен II" до имот с КИ 00702.534.28 - проектиране и изграждане</t>
  </si>
  <si>
    <t>Реконструкция на ул. "Захария", кв. Долни Воден, в участъка от кръгово до мост, вкл. подмяна на водопровод (съвместно с ВиК) - проектиране и изграждане</t>
  </si>
  <si>
    <t>Ремонт на ул. "Гео Милев", с. Червен</t>
  </si>
  <si>
    <t>Ремонт на ул. "Бреза", кв. Изток, гр. Асеновград</t>
  </si>
  <si>
    <t>Ремонт на ул. "3-ти март", в участъка от ул. "Мизия" до ул. "Полковник Дрангов", с. Тополово</t>
  </si>
  <si>
    <t>Реконструкция на ул. Книжна Фабрика и съществуващо кръгово движение на път -II -86 Асеновград - Пловдив при км.25+100 с цел осигуряване на връзка с ул."Книжна фабрика"</t>
  </si>
  <si>
    <t>Мост с.Конуш - проектиране</t>
  </si>
  <si>
    <t xml:space="preserve">Свързване на ул."Хр. Анастасов" с ул."Ангел Кънчев" в кв.Д.Воден - проектиране </t>
  </si>
  <si>
    <t>Проектиране на подпорна стена на част от ул. "Св. Кирик", кв. Горни Воден</t>
  </si>
  <si>
    <t>Проектиране на подпорна стена на част от ул. "Крайречна" кв. Долни Воден, гр. Асеновград</t>
  </si>
  <si>
    <t>Проектиране на канализация на ул. "Светлина", кв. Горни Воден, гр. Асеновград</t>
  </si>
  <si>
    <t>Проектиране на подпорна стена ул. Панорама, с. Нареченски бани</t>
  </si>
  <si>
    <t xml:space="preserve">Изграждане на нова инфраструктура в местността "Под селото", гр.Асеновград - проектиране и  I-ви етап </t>
  </si>
  <si>
    <t>Подпорна стена до преливника на язовир - Долни Воден - проектиране и изграждане</t>
  </si>
  <si>
    <t>Придобиване на земя в с.Мулдава след стартиране на процедура по отчуждаване на 41 кв.м. от ПИ 49309.8.96 по КК на с.Мулдава</t>
  </si>
  <si>
    <t>Придобиване на земя в с.Стоево след стартиране на процедура по отчуждаване на част от ПИ 69273.25.211 по КК на с.Стоево</t>
  </si>
  <si>
    <t xml:space="preserve">Придобиване на 40 кв.м от поземлен имот 99088.20.79 по КК на кв.Д.Воден за реконструкция на кръстовище ул."Ст. Джансъзов", ул."Захария" и Горноводенски път в кръгово </t>
  </si>
  <si>
    <t>Придобиване на земя в с.Златовръх след стартиране на процедура по отчуждаване на част от ПИ 31108.72.9 за разширение на улица</t>
  </si>
  <si>
    <t xml:space="preserve">Придобиване на 14 кв.м. От ПИ 00702.527.251 по КК на гр. Асеновград за разширение на улица </t>
  </si>
  <si>
    <t>Придобиване на земя в с.Лясково след стартиране на процедура по отчуждаване на общо 166 кв.м. от ПИ№ 44834.27.105, ПИ№ 44834.27.277, ПИ № 44834.27.104, ПИ № 44834.27.103 по КК на с. Лясково</t>
  </si>
  <si>
    <t>Улица по общински път с ИД № 00702.506.148 в ПЗ "Север"  и връзка с ул. "Индустриална" и водопровод и канализация по общински път с ИД 00702.506.148в ПЗ "Север"</t>
  </si>
  <si>
    <t>Подпорна стена към общински път Червен-Горнослав-Орешец, с. Орешец (до кметство) - проектиране и изграждане</t>
  </si>
  <si>
    <t>Ремонт на междублокови пространства в кв. Изток, гр. Асеновград - бл.7, бл.12, проектиране и изграждане</t>
  </si>
  <si>
    <t>Ремонт на ул. "Копринарска" , гр. Асеновград, проектиране и изграждане</t>
  </si>
  <si>
    <t>Ремонт на ул. "Царевец" , гр. Асеновград</t>
  </si>
  <si>
    <t>Ремонт на ул. "Матей Преображенски" (от ул."Христо Ботев" до ул. "Черни Връх"), гр. Асеновград</t>
  </si>
  <si>
    <t>Ремонт на ул."Родолюбие", в участъка от ул. "Русалка" до ул."Мануш Войвода", гр. Асеновград</t>
  </si>
  <si>
    <t>Ремонт на ул. "Горнославска" от ул."Мизия"(площад) до ул. "Освобождение", с. Тополово</t>
  </si>
  <si>
    <t xml:space="preserve">Основен ремонт и изграждане на линейни отводнители на територията на гр. Асеновград:                                                                                               ул. "Никола Кръстев", гр. Асеновград                                                                       кв. Запад - ул. Лозница при бл. 5/5 и бл. 7                                                                     до Читалище "Родолюбие"                                                                      ул. "Садовска"                                                                                                                                 ул. "Рожен" </t>
  </si>
  <si>
    <t>Ремонт на тротоари по ул. "Цар Иван Асен II, гр. Асеновград, в участъка от кръгово с ул. "Ал. Стамболийски" до ул. "Н.Вапцаров" - проектиране и изграждане</t>
  </si>
  <si>
    <t>ул."Луда Яна", с. Долнослав, участъка от централна улица до ул. "Васил Левски"</t>
  </si>
  <si>
    <t>Ремонт на междублоково простраснтво на ул. "Иван Асен II" № 46-50, гр. Асеновград</t>
  </si>
  <si>
    <t>Проектиране и изграждане на подпорна стена на ул. "Скакавица", кв. Долни Воден, гр. Асеновград</t>
  </si>
  <si>
    <t xml:space="preserve">Проектиране на подпорна стена на ул."Здравец", гр. Асеновград </t>
  </si>
  <si>
    <t>Проектиране на подпорна стена на ул. "Рилска"(до № 58-60), гр. Асеновград</t>
  </si>
  <si>
    <t xml:space="preserve">Проектиране на подпорна стена на ул.  "Крива", гр. Асеновград </t>
  </si>
  <si>
    <t>Проектиране на подпорна стена на ул. "Хр. Янев", с. Стоево</t>
  </si>
  <si>
    <t>ДРУГИ ДЕЙНОСТИ ПО ЖИЛИЩНОТО СТРОИТЕЛСТВО</t>
  </si>
  <si>
    <t>ОР на сградата на Караалановото училище, находящо се на ул."Цар Иван Асен II" №58 Асеновград - ремонт на покрив</t>
  </si>
  <si>
    <t>Обновяване носещата конструкция на част от централната зона към площад "Акад. Николай Хайтов", заключена между ул."Цар Иван Асен II", ул."Раковска" и Градската библиотека</t>
  </si>
  <si>
    <t>Проектиране на централната част на кв.Д.Воден</t>
  </si>
  <si>
    <t>Изграждане на подпорни стени на реката в регулацията на с.Нови извор</t>
  </si>
  <si>
    <t>Проект за оразмеряване на санитарно-охранителни зони около експлоатационните водовземни съоръжения в находище на минерална вода "Нареченски минерални бани"</t>
  </si>
  <si>
    <t>Проектиране и изграждане на нова детска площадка на територията на кв."Изток", гр. Асеновград /до бл. 5 и бл.6/</t>
  </si>
  <si>
    <t>Проектиране и изграждане на нова детска площадка на територията на ул.Христо Анастасов, кв.Д.Воден</t>
  </si>
  <si>
    <t>Проектиране и изграждане на детска площадка на ул.Къпина, кв.Д.Воден</t>
  </si>
  <si>
    <t>Проектиране и изграждане на детска площадка с.Тополово</t>
  </si>
  <si>
    <t>Проектиране и изграждане на детска площадка на ул. "Спортист", гр. Асеновград</t>
  </si>
  <si>
    <t>Проектиране и изграждане на детска площадка в УПИ III - 511.211, кв. 422 по рег. план на гр. Асеновград</t>
  </si>
  <si>
    <t>Проектиране и изграждане на детска площадка в кв.Баба Тонка гр. Асеновград</t>
  </si>
  <si>
    <t>Проект за нов квартал - кв. 36, гр. Асеновград</t>
  </si>
  <si>
    <t>Проект за изменение на ПУП за ул. "Вигла", кв. Долни Воден, гр. Асеновград</t>
  </si>
  <si>
    <t>Общ Устройствен план на община Асеноград</t>
  </si>
  <si>
    <t>Придобиване на поземлен имот с КИ 22839.193.3 по КК на с. Долнослав, м.Лопките, земеделска територия, НТП: неизползвана ливада, площ 4675 кв.м. за изграждане на хоризонтален дренаж за допълнително водоснабдяване на с. Червен</t>
  </si>
  <si>
    <t>Обществен паркинг и търговска зона, разположени в подплощадното ниво II на пл. "Акад.Н.Хайтов"</t>
  </si>
  <si>
    <t>Фитнес на открито до велоалея и градски плаж, гр. Асеновград - проектиране и изграждане</t>
  </si>
  <si>
    <t>Фитнес на открито и детска площадка за деца от 3 до 12 години в парк на ул. "Цар Освободител", гр. Асеновград - проектиране и изграждане</t>
  </si>
  <si>
    <t>Спортна площадка в кв. Изток /външен фитнес/- проектиране и изграждане</t>
  </si>
  <si>
    <t>Проектиране и изграждане на въжена детска площадка в парк "Голяма алея", гр. Асеновград</t>
  </si>
  <si>
    <t>Проектиране и изграждане на  детска площадка в кв. Баделема 2, гр. Асеновград</t>
  </si>
  <si>
    <t>Проектиране и изграждане на детска площадка на ул. "Тутракан", гр. Асеновград</t>
  </si>
  <si>
    <t>Проектиране на междублоково пространство на ул. "Речна" № 25 и ул. Речна" № 27, гр. Асеновград</t>
  </si>
  <si>
    <t>Придобиване на земя за изграждане на обходен път за кв. Горни Воден</t>
  </si>
  <si>
    <t>Ремонт на детска площадка в с. Долнослав - проектиране и изграждане</t>
  </si>
  <si>
    <t>Основен ремонт на административна сграда - кметство с. Стоево - проектиране</t>
  </si>
  <si>
    <t>Спортна площадка /фитнес на открито/ в с. Тополово- проектиране и изграждане</t>
  </si>
  <si>
    <t>Ремонт на парк в с. Долнослав</t>
  </si>
  <si>
    <t>Внедряване на мерки за енергийна ефективност на многофамилна жилищна сграда с адрес: гр. Асеновград, ул. "Васил Левски" 1, бл. Снежанка</t>
  </si>
  <si>
    <t>Внедряване на мерки за енергийна ефективност на многофамилна жилищна сграда с адрес: гр. Асеновград, кв. "Запад", ул. "Лозница" № 2, бл. Възход</t>
  </si>
  <si>
    <t>Внедряване на мерки за енергийна ефективност на многофамилна жилищна сграда с адрес: гр. Асеновград, жк. "Изток", бл.7, вх.А Б В</t>
  </si>
  <si>
    <t>Внедряване на мерки за енергийна ефективност на многофамилна жилищна сграда с адрес: гр. Асеновград, ул. Речна № 2,4,6,8,10</t>
  </si>
  <si>
    <t>Внедряване на мерки за енергийна ефективност на многофамилна жилищна сграда с адрес: гр. Асеновград, ул. "3-ти март" № 2</t>
  </si>
  <si>
    <t>Внедряване на мерки за енергийна ефективност на многофамилна жилищна сграда с адрес: гр. Асеновград, жк. "Запад", ул. "Лозница" № 10, бл. 7/5, вх. А,Б,В</t>
  </si>
  <si>
    <t>ГЕОЗАЩИТА</t>
  </si>
  <si>
    <t xml:space="preserve">Възстановяване на пропаднал откос на р.Чая в близост до кръстовището на ул."Освобождение" и ул."Червената скала", с.Бачково </t>
  </si>
  <si>
    <t>УПРАВЛЕНИЕ НА ДЕЙНОСТИ ПО ОТПАДЪЦИТЕ</t>
  </si>
  <si>
    <t>Закупуване на 2 бр. контролно - пропусквателни бариери за нуждите на ОП ТДБСО - Асеновград</t>
  </si>
  <si>
    <t>ОКОЛНА СРЕДА</t>
  </si>
  <si>
    <t>Подобряване качеството на атмосферния въздух в Община Асеновград</t>
  </si>
  <si>
    <t>ФУНКЦИЯ VІI - ПОЧИВНО ДЕЛО И КУЛТУРА</t>
  </si>
  <si>
    <t>ЧИТАЛИЩА</t>
  </si>
  <si>
    <t>Културна инфраструктура - обновяване и внедряване на мерки за енергийна ефективност на сградата на НЧ "Родолюбие", гр. Асеновград ( по ОП"РР")</t>
  </si>
  <si>
    <t>„Културна инфраструктура - обновяване и внедряване на мерки за енергийна ефективност на сградата на  читалище „Родолюбие”, гр. Асеновград"</t>
  </si>
  <si>
    <t>Сграда на читалище "Паисий Хилендарски", гр. Асеновград - проектиране</t>
  </si>
  <si>
    <t>Обновяване на културната инфраструктура в сградите на: НЧ "Христо Ботев"-1945г", с. Нареченски бани; НЧ "Христо Ботев- 1919г", с. Избеглии и НЧ "Никола Й. Вапцаров - 1936г", с. Боянци, Община Асеновград</t>
  </si>
  <si>
    <t>Обновяване на културната инфраструктура в сградите на: НЧ "Никола Й. Вапцаров - 1894г", с. Тополово; НЧ "Христо Ботев- 1926г", с. Червен и НЧ "Просвета - 1918г", с. Нови Извор, Община Асеновград</t>
  </si>
  <si>
    <t>СПОРТНИ БАЗИ И СПОРТ ЗА ВСИЧКИ</t>
  </si>
  <si>
    <t xml:space="preserve">Проектиране на закрит басейн </t>
  </si>
  <si>
    <t>Придобиване на земя в с.Нови извор за стадион</t>
  </si>
  <si>
    <t>Внедряване на мерки за енергийна ефективност на Многофунционална спортна зала "Асеновец", гр. Асеновград</t>
  </si>
  <si>
    <t>ОБРЕДНИ ДОМОВЕ И ЗАЛИ</t>
  </si>
  <si>
    <t>Инвестиционен проект за благоустрояване на гробищен парк на ул. "Миньор"</t>
  </si>
  <si>
    <t>Инвестиционен проект за благоустрояване на гробищен парк в кв. Долни Воден</t>
  </si>
  <si>
    <t>ПУП за разширение на гробищен парк в кв. Долни Воден, с. Новаково, с. Тополово</t>
  </si>
  <si>
    <t>ПУП за разширение на гобищен парк на ул. "Миньор", гр. Асеновград</t>
  </si>
  <si>
    <t>Придобиване на земя за разширение на гробищен парк с.Бачково</t>
  </si>
  <si>
    <t>Придобиване на земя за разширение на гробищен парк с.Конуш</t>
  </si>
  <si>
    <t>Придобиване на земя за разширение на гробищен парк кв.Д.Воден</t>
  </si>
  <si>
    <t>Придобиване на земя за разширение на гробищен парк с.Козаново</t>
  </si>
  <si>
    <t>Придобиване на земя за разширение на гробищен парк гр. Асеновград</t>
  </si>
  <si>
    <t>ГРАДСКА БИБЛИОТЕКА</t>
  </si>
  <si>
    <t>Внедряване на мерки за енергийна ефективност на сградата на градска библиотека "Паисий Хилендарски", гр. Асеновград</t>
  </si>
  <si>
    <t>ДРУГИ ДЕЙНОСТИ ПО КУЛТУРАТА</t>
  </si>
  <si>
    <t>Закупуване на коледна украса</t>
  </si>
  <si>
    <t>ФУНКЦИЯ VІII- ИКОНОМИЧЕСКИ ДЕЙНОСТИ И УСЛУГИ</t>
  </si>
  <si>
    <t>БЕЗОПАСНОСТ НА ДВИЖЕНИЕТО</t>
  </si>
  <si>
    <t>Изграждане на видеонаблюдение в гр. Асеновград</t>
  </si>
  <si>
    <t>Изграждане на видеонаблюдение в населени места в Община Асеновград</t>
  </si>
  <si>
    <t>РЕМОНТ ПЪТИЩА</t>
  </si>
  <si>
    <t>Проектиране на път Мостово-Кръстова гора</t>
  </si>
  <si>
    <t>Укрепване на свлачище на път PDV 3016 /II-86 Асеновград - Бачково/ - Лясково - граница община Асеновград /Куклен-Яворово-Добралък при км.2+070 /ПМС №357 от 19.12.2019г./</t>
  </si>
  <si>
    <t>Проект за цялостно отводняване на път PDV 3016 /II-86 Асеновград - Бачково/ - Лясково - граница общини Асеновград /Куклен-Яворово-Добралък в участъка, попадащ в землището на гр. Асеновград</t>
  </si>
  <si>
    <t>Проектиране на път  PDV 2005 с.Врата - с.Три могили</t>
  </si>
  <si>
    <t>Ремонт на светофарна уредба на бул. "България и ул. "Велико Търново", гр. Асеновград</t>
  </si>
  <si>
    <t>ДРУГИ ДЕЙНОСТИ ПО ИКОНОМИКАТА</t>
  </si>
  <si>
    <t>Поливна система на територията на гр. Асеновград</t>
  </si>
  <si>
    <t>Внедряване на екомобилност в община Асеновград и изграждане на велоалеи на територията на община Садово</t>
  </si>
  <si>
    <t>Компютърни конфигурации, 6 бр. за нуждите на ОП "Паркинги и гаражи"</t>
  </si>
  <si>
    <t>Мултифункционално устройство за нуждите на ОП "Паркинги и гаражи"</t>
  </si>
  <si>
    <t>Закупуване на климатици за нуждите на ОП "Паркинги и гаражи"</t>
  </si>
  <si>
    <t>ВСИЧКО ЗА ОБЩИНАТА</t>
  </si>
  <si>
    <t>Приложение №1</t>
  </si>
  <si>
    <t>БЮДЖЕТ 2024-Местни приходи</t>
  </si>
  <si>
    <t>БЮДЖЕТ 2024-Приходи за делегирани държавни дейности</t>
  </si>
  <si>
    <t>Приложение №6</t>
  </si>
  <si>
    <t xml:space="preserve">УТОЧНЕН БЮДЖЕТ                  2023         </t>
  </si>
  <si>
    <t xml:space="preserve">УТОЧНЕН БЮДЖЕТ               2023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</si>
</sst>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charset val="204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i/>
      <sz val="13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u/>
      <sz val="13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Heba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3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rgb="FF0070C0"/>
      <name val="Arial Cyr"/>
      <charset val="204"/>
    </font>
    <font>
      <sz val="14"/>
      <color theme="1"/>
      <name val="Arial Cyr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/>
    <xf numFmtId="0" fontId="2" fillId="0" borderId="0"/>
  </cellStyleXfs>
  <cellXfs count="40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Protection="1">
      <protection locked="0"/>
    </xf>
    <xf numFmtId="0" fontId="3" fillId="2" borderId="0" xfId="0" applyFont="1" applyFill="1"/>
    <xf numFmtId="0" fontId="0" fillId="2" borderId="0" xfId="0" applyFill="1"/>
    <xf numFmtId="0" fontId="0" fillId="2" borderId="0" xfId="0" applyFill="1" applyProtection="1">
      <protection locked="0"/>
    </xf>
    <xf numFmtId="0" fontId="2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Continuous"/>
    </xf>
    <xf numFmtId="3" fontId="3" fillId="2" borderId="2" xfId="0" applyNumberFormat="1" applyFont="1" applyFill="1" applyBorder="1" applyAlignment="1" applyProtection="1">
      <alignment horizontal="centerContinuous"/>
      <protection locked="0"/>
    </xf>
    <xf numFmtId="3" fontId="3" fillId="2" borderId="3" xfId="0" applyNumberFormat="1" applyFont="1" applyFill="1" applyBorder="1" applyAlignment="1">
      <alignment horizontal="centerContinuous" wrapText="1"/>
    </xf>
    <xf numFmtId="3" fontId="3" fillId="2" borderId="5" xfId="0" applyNumberFormat="1" applyFont="1" applyFill="1" applyBorder="1" applyAlignment="1">
      <alignment horizontal="centerContinuous"/>
    </xf>
    <xf numFmtId="3" fontId="3" fillId="2" borderId="4" xfId="0" applyNumberFormat="1" applyFont="1" applyFill="1" applyBorder="1" applyAlignment="1">
      <alignment horizontal="centerContinuous"/>
    </xf>
    <xf numFmtId="3" fontId="3" fillId="2" borderId="6" xfId="0" applyNumberFormat="1" applyFont="1" applyFill="1" applyBorder="1" applyAlignment="1" applyProtection="1">
      <alignment horizontal="centerContinuous"/>
      <protection locked="0"/>
    </xf>
    <xf numFmtId="49" fontId="3" fillId="2" borderId="2" xfId="0" applyNumberFormat="1" applyFont="1" applyFill="1" applyBorder="1" applyAlignment="1">
      <alignment horizontal="centerContinuous" vertical="center"/>
    </xf>
    <xf numFmtId="49" fontId="3" fillId="2" borderId="5" xfId="0" applyNumberFormat="1" applyFont="1" applyFill="1" applyBorder="1" applyAlignment="1">
      <alignment horizontal="centerContinuous" vertical="center"/>
    </xf>
    <xf numFmtId="49" fontId="2" fillId="2" borderId="2" xfId="0" applyNumberFormat="1" applyFont="1" applyFill="1" applyBorder="1" applyAlignment="1">
      <alignment horizontal="centerContinuous" vertical="center"/>
    </xf>
    <xf numFmtId="0" fontId="3" fillId="2" borderId="4" xfId="0" applyNumberFormat="1" applyFont="1" applyFill="1" applyBorder="1" applyAlignment="1">
      <alignment horizontal="centerContinuous" vertical="center"/>
    </xf>
    <xf numFmtId="3" fontId="3" fillId="2" borderId="6" xfId="0" applyNumberFormat="1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centerContinuous" vertical="center" wrapText="1"/>
    </xf>
    <xf numFmtId="3" fontId="3" fillId="2" borderId="2" xfId="0" applyNumberFormat="1" applyFont="1" applyFill="1" applyBorder="1" applyAlignment="1">
      <alignment horizontal="centerContinuous" vertical="center"/>
    </xf>
    <xf numFmtId="3" fontId="3" fillId="2" borderId="5" xfId="0" applyNumberFormat="1" applyFont="1" applyFill="1" applyBorder="1" applyAlignment="1">
      <alignment horizontal="centerContinuous" vertical="center" wrapText="1"/>
    </xf>
    <xf numFmtId="0" fontId="2" fillId="2" borderId="0" xfId="0" applyFont="1" applyFill="1" applyAlignment="1">
      <alignment vertical="center" wrapText="1"/>
    </xf>
    <xf numFmtId="0" fontId="4" fillId="2" borderId="14" xfId="0" applyFont="1" applyFill="1" applyBorder="1"/>
    <xf numFmtId="0" fontId="4" fillId="2" borderId="15" xfId="0" quotePrefix="1" applyFont="1" applyFill="1" applyBorder="1"/>
    <xf numFmtId="3" fontId="3" fillId="2" borderId="15" xfId="0" applyNumberFormat="1" applyFont="1" applyFill="1" applyBorder="1" applyProtection="1"/>
    <xf numFmtId="3" fontId="3" fillId="0" borderId="15" xfId="0" applyNumberFormat="1" applyFont="1" applyFill="1" applyBorder="1" applyProtection="1"/>
    <xf numFmtId="3" fontId="4" fillId="2" borderId="15" xfId="0" applyNumberFormat="1" applyFont="1" applyFill="1" applyBorder="1" applyProtection="1"/>
    <xf numFmtId="3" fontId="4" fillId="2" borderId="15" xfId="0" applyNumberFormat="1" applyFont="1" applyFill="1" applyBorder="1"/>
    <xf numFmtId="3" fontId="3" fillId="3" borderId="15" xfId="0" applyNumberFormat="1" applyFont="1" applyFill="1" applyBorder="1" applyProtection="1"/>
    <xf numFmtId="3" fontId="4" fillId="0" borderId="15" xfId="0" applyNumberFormat="1" applyFont="1" applyFill="1" applyBorder="1" applyProtection="1"/>
    <xf numFmtId="0" fontId="4" fillId="2" borderId="0" xfId="0" applyFont="1" applyFill="1"/>
    <xf numFmtId="0" fontId="2" fillId="2" borderId="15" xfId="0" applyFont="1" applyFill="1" applyBorder="1"/>
    <xf numFmtId="0" fontId="2" fillId="2" borderId="15" xfId="0" quotePrefix="1" applyFont="1" applyFill="1" applyBorder="1"/>
    <xf numFmtId="3" fontId="2" fillId="2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2" borderId="15" xfId="0" applyNumberFormat="1" applyFont="1" applyFill="1" applyBorder="1"/>
    <xf numFmtId="3" fontId="2" fillId="3" borderId="15" xfId="0" applyNumberFormat="1" applyFont="1" applyFill="1" applyBorder="1" applyProtection="1">
      <protection locked="0"/>
    </xf>
    <xf numFmtId="0" fontId="4" fillId="2" borderId="15" xfId="0" applyFont="1" applyFill="1" applyBorder="1"/>
    <xf numFmtId="1" fontId="2" fillId="2" borderId="15" xfId="0" quotePrefix="1" applyNumberFormat="1" applyFont="1" applyFill="1" applyBorder="1"/>
    <xf numFmtId="3" fontId="3" fillId="2" borderId="15" xfId="0" applyNumberFormat="1" applyFont="1" applyFill="1" applyBorder="1" applyProtection="1">
      <protection locked="0"/>
    </xf>
    <xf numFmtId="3" fontId="3" fillId="0" borderId="15" xfId="0" applyNumberFormat="1" applyFont="1" applyFill="1" applyBorder="1" applyProtection="1">
      <protection locked="0"/>
    </xf>
    <xf numFmtId="3" fontId="4" fillId="2" borderId="15" xfId="0" applyNumberFormat="1" applyFont="1" applyFill="1" applyBorder="1" applyProtection="1">
      <protection locked="0"/>
    </xf>
    <xf numFmtId="3" fontId="3" fillId="3" borderId="15" xfId="0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0" fillId="2" borderId="15" xfId="0" applyNumberFormat="1" applyFill="1" applyBorder="1"/>
    <xf numFmtId="3" fontId="0" fillId="0" borderId="15" xfId="0" applyNumberFormat="1" applyFill="1" applyBorder="1"/>
    <xf numFmtId="3" fontId="0" fillId="3" borderId="15" xfId="0" applyNumberFormat="1" applyFill="1" applyBorder="1"/>
    <xf numFmtId="3" fontId="2" fillId="0" borderId="15" xfId="0" applyNumberFormat="1" applyFont="1" applyFill="1" applyBorder="1"/>
    <xf numFmtId="3" fontId="5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/>
    <xf numFmtId="0" fontId="5" fillId="2" borderId="15" xfId="0" applyFont="1" applyFill="1" applyBorder="1"/>
    <xf numFmtId="0" fontId="5" fillId="2" borderId="15" xfId="0" quotePrefix="1" applyFont="1" applyFill="1" applyBorder="1"/>
    <xf numFmtId="0" fontId="5" fillId="2" borderId="0" xfId="0" applyFont="1" applyFill="1"/>
    <xf numFmtId="0" fontId="2" fillId="2" borderId="15" xfId="0" quotePrefix="1" applyFont="1" applyFill="1" applyBorder="1" applyAlignment="1">
      <alignment horizontal="left"/>
    </xf>
    <xf numFmtId="3" fontId="2" fillId="2" borderId="15" xfId="0" applyNumberFormat="1" applyFont="1" applyFill="1" applyBorder="1" applyProtection="1"/>
    <xf numFmtId="3" fontId="3" fillId="2" borderId="15" xfId="0" applyNumberFormat="1" applyFont="1" applyFill="1" applyBorder="1"/>
    <xf numFmtId="3" fontId="3" fillId="2" borderId="15" xfId="0" applyNumberFormat="1" applyFont="1" applyFill="1" applyBorder="1" applyAlignment="1" applyProtection="1">
      <alignment horizontal="right"/>
    </xf>
    <xf numFmtId="3" fontId="4" fillId="2" borderId="0" xfId="0" applyNumberFormat="1" applyFont="1" applyFill="1"/>
    <xf numFmtId="3" fontId="3" fillId="0" borderId="15" xfId="0" applyNumberFormat="1" applyFont="1" applyFill="1" applyBorder="1"/>
    <xf numFmtId="3" fontId="2" fillId="2" borderId="0" xfId="0" applyNumberFormat="1" applyFont="1" applyFill="1"/>
    <xf numFmtId="49" fontId="4" fillId="2" borderId="15" xfId="0" applyNumberFormat="1" applyFont="1" applyFill="1" applyBorder="1" applyAlignment="1">
      <alignment horizontal="left"/>
    </xf>
    <xf numFmtId="0" fontId="2" fillId="2" borderId="0" xfId="0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Protection="1">
      <protection locked="0"/>
    </xf>
    <xf numFmtId="3" fontId="4" fillId="2" borderId="15" xfId="0" quotePrefix="1" applyNumberFormat="1" applyFont="1" applyFill="1" applyBorder="1"/>
    <xf numFmtId="0" fontId="4" fillId="2" borderId="15" xfId="0" applyFont="1" applyFill="1" applyBorder="1" applyAlignment="1">
      <alignment horizontal="right"/>
    </xf>
    <xf numFmtId="3" fontId="2" fillId="2" borderId="0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0" fillId="2" borderId="0" xfId="0" applyNumberFormat="1" applyFill="1"/>
    <xf numFmtId="3" fontId="3" fillId="2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 applyProtection="1">
      <protection locked="0"/>
    </xf>
    <xf numFmtId="3" fontId="5" fillId="2" borderId="0" xfId="0" applyNumberFormat="1" applyFont="1" applyFill="1"/>
    <xf numFmtId="0" fontId="3" fillId="2" borderId="15" xfId="0" applyFont="1" applyFill="1" applyBorder="1"/>
    <xf numFmtId="0" fontId="3" fillId="2" borderId="15" xfId="0" quotePrefix="1" applyFont="1" applyFill="1" applyBorder="1"/>
    <xf numFmtId="0" fontId="2" fillId="0" borderId="0" xfId="0" applyFont="1" applyFill="1"/>
    <xf numFmtId="0" fontId="2" fillId="0" borderId="0" xfId="0" applyFont="1" applyFill="1" applyProtection="1">
      <protection locked="0"/>
    </xf>
    <xf numFmtId="3" fontId="2" fillId="0" borderId="0" xfId="0" applyNumberFormat="1" applyFont="1" applyFill="1"/>
    <xf numFmtId="3" fontId="3" fillId="4" borderId="15" xfId="0" applyNumberFormat="1" applyFont="1" applyFill="1" applyBorder="1" applyProtection="1"/>
    <xf numFmtId="3" fontId="2" fillId="4" borderId="15" xfId="0" applyNumberFormat="1" applyFont="1" applyFill="1" applyBorder="1" applyProtection="1">
      <protection locked="0"/>
    </xf>
    <xf numFmtId="3" fontId="2" fillId="4" borderId="15" xfId="0" applyNumberFormat="1" applyFont="1" applyFill="1" applyBorder="1" applyAlignment="1" applyProtection="1">
      <alignment horizontal="right"/>
      <protection locked="0"/>
    </xf>
    <xf numFmtId="3" fontId="3" fillId="4" borderId="15" xfId="0" applyNumberFormat="1" applyFont="1" applyFill="1" applyBorder="1" applyProtection="1">
      <protection locked="0"/>
    </xf>
    <xf numFmtId="3" fontId="0" fillId="4" borderId="15" xfId="0" applyNumberFormat="1" applyFill="1" applyBorder="1"/>
    <xf numFmtId="3" fontId="4" fillId="4" borderId="15" xfId="0" applyNumberFormat="1" applyFont="1" applyFill="1" applyBorder="1" applyProtection="1"/>
    <xf numFmtId="3" fontId="4" fillId="4" borderId="15" xfId="0" applyNumberFormat="1" applyFont="1" applyFill="1" applyBorder="1" applyProtection="1">
      <protection locked="0"/>
    </xf>
    <xf numFmtId="3" fontId="2" fillId="4" borderId="15" xfId="0" applyNumberFormat="1" applyFont="1" applyFill="1" applyBorder="1"/>
    <xf numFmtId="3" fontId="3" fillId="4" borderId="15" xfId="0" applyNumberFormat="1" applyFont="1" applyFill="1" applyBorder="1" applyAlignment="1" applyProtection="1">
      <alignment horizontal="right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3" fontId="4" fillId="4" borderId="15" xfId="0" applyNumberFormat="1" applyFont="1" applyFill="1" applyBorder="1"/>
    <xf numFmtId="3" fontId="3" fillId="4" borderId="15" xfId="0" applyNumberFormat="1" applyFont="1" applyFill="1" applyBorder="1"/>
    <xf numFmtId="4" fontId="3" fillId="4" borderId="15" xfId="0" applyNumberFormat="1" applyFont="1" applyFill="1" applyBorder="1"/>
    <xf numFmtId="0" fontId="4" fillId="4" borderId="15" xfId="0" quotePrefix="1" applyFont="1" applyFill="1" applyBorder="1"/>
    <xf numFmtId="4" fontId="2" fillId="4" borderId="15" xfId="0" applyNumberFormat="1" applyFont="1" applyFill="1" applyBorder="1"/>
    <xf numFmtId="0" fontId="2" fillId="4" borderId="15" xfId="0" quotePrefix="1" applyFont="1" applyFill="1" applyBorder="1"/>
    <xf numFmtId="1" fontId="2" fillId="4" borderId="15" xfId="0" quotePrefix="1" applyNumberFormat="1" applyFont="1" applyFill="1" applyBorder="1"/>
    <xf numFmtId="3" fontId="3" fillId="4" borderId="19" xfId="0" applyNumberFormat="1" applyFont="1" applyFill="1" applyBorder="1" applyProtection="1"/>
    <xf numFmtId="3" fontId="2" fillId="4" borderId="19" xfId="0" applyNumberFormat="1" applyFont="1" applyFill="1" applyBorder="1"/>
    <xf numFmtId="0" fontId="5" fillId="4" borderId="15" xfId="0" quotePrefix="1" applyFont="1" applyFill="1" applyBorder="1"/>
    <xf numFmtId="0" fontId="2" fillId="4" borderId="15" xfId="0" quotePrefix="1" applyFont="1" applyFill="1" applyBorder="1" applyAlignment="1">
      <alignment horizontal="left"/>
    </xf>
    <xf numFmtId="3" fontId="4" fillId="4" borderId="19" xfId="0" applyNumberFormat="1" applyFont="1" applyFill="1" applyBorder="1"/>
    <xf numFmtId="3" fontId="3" fillId="4" borderId="19" xfId="0" applyNumberFormat="1" applyFont="1" applyFill="1" applyBorder="1"/>
    <xf numFmtId="3" fontId="2" fillId="4" borderId="19" xfId="0" applyNumberFormat="1" applyFont="1" applyFill="1" applyBorder="1" applyProtection="1">
      <protection locked="0"/>
    </xf>
    <xf numFmtId="3" fontId="3" fillId="4" borderId="15" xfId="0" quotePrefix="1" applyNumberFormat="1" applyFont="1" applyFill="1" applyBorder="1"/>
    <xf numFmtId="0" fontId="3" fillId="4" borderId="15" xfId="0" quotePrefix="1" applyFont="1" applyFill="1" applyBorder="1"/>
    <xf numFmtId="49" fontId="4" fillId="4" borderId="15" xfId="0" applyNumberFormat="1" applyFont="1" applyFill="1" applyBorder="1" applyAlignment="1">
      <alignment horizontal="left"/>
    </xf>
    <xf numFmtId="3" fontId="4" fillId="4" borderId="15" xfId="0" applyNumberFormat="1" applyFont="1" applyFill="1" applyBorder="1" applyAlignment="1" applyProtection="1">
      <alignment horizontal="right"/>
    </xf>
    <xf numFmtId="0" fontId="4" fillId="4" borderId="15" xfId="0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3" fontId="8" fillId="0" borderId="0" xfId="0" applyNumberFormat="1" applyFont="1" applyFill="1"/>
    <xf numFmtId="0" fontId="8" fillId="2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Continuous" wrapText="1"/>
    </xf>
    <xf numFmtId="14" fontId="12" fillId="0" borderId="0" xfId="0" applyNumberFormat="1" applyFont="1" applyFill="1" applyAlignment="1">
      <alignment horizontal="right"/>
    </xf>
    <xf numFmtId="0" fontId="12" fillId="2" borderId="0" xfId="0" applyFont="1" applyFill="1"/>
    <xf numFmtId="0" fontId="13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3" fontId="17" fillId="0" borderId="15" xfId="0" applyNumberFormat="1" applyFont="1" applyFill="1" applyBorder="1" applyAlignment="1">
      <alignment horizontal="right" wrapText="1"/>
    </xf>
    <xf numFmtId="3" fontId="18" fillId="0" borderId="15" xfId="0" applyNumberFormat="1" applyFont="1" applyFill="1" applyBorder="1" applyAlignment="1">
      <alignment wrapText="1"/>
    </xf>
    <xf numFmtId="4" fontId="17" fillId="0" borderId="15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horizontal="center" wrapText="1"/>
    </xf>
    <xf numFmtId="0" fontId="9" fillId="0" borderId="15" xfId="0" applyFont="1" applyFill="1" applyBorder="1"/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/>
    <xf numFmtId="4" fontId="9" fillId="0" borderId="15" xfId="0" applyNumberFormat="1" applyFont="1" applyFill="1" applyBorder="1"/>
    <xf numFmtId="3" fontId="9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/>
    <xf numFmtId="0" fontId="10" fillId="2" borderId="0" xfId="0" applyFont="1" applyFill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/>
    <xf numFmtId="0" fontId="19" fillId="2" borderId="0" xfId="0" applyFont="1" applyFill="1"/>
    <xf numFmtId="3" fontId="8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/>
    <xf numFmtId="0" fontId="5" fillId="0" borderId="15" xfId="0" applyFont="1" applyFill="1" applyBorder="1" applyAlignment="1">
      <alignment wrapText="1"/>
    </xf>
    <xf numFmtId="0" fontId="8" fillId="0" borderId="15" xfId="0" applyFont="1" applyFill="1" applyBorder="1"/>
    <xf numFmtId="3" fontId="21" fillId="0" borderId="15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/>
    <xf numFmtId="4" fontId="21" fillId="0" borderId="15" xfId="0" applyNumberFormat="1" applyFont="1" applyFill="1" applyBorder="1"/>
    <xf numFmtId="0" fontId="5" fillId="0" borderId="15" xfId="1" applyFont="1" applyFill="1" applyBorder="1" applyAlignment="1">
      <alignment wrapText="1"/>
    </xf>
    <xf numFmtId="0" fontId="9" fillId="0" borderId="15" xfId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 wrapText="1"/>
    </xf>
    <xf numFmtId="0" fontId="15" fillId="0" borderId="15" xfId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right"/>
    </xf>
    <xf numFmtId="0" fontId="10" fillId="2" borderId="0" xfId="0" applyFont="1" applyFill="1"/>
    <xf numFmtId="3" fontId="9" fillId="0" borderId="15" xfId="0" applyNumberFormat="1" applyFont="1" applyFill="1" applyBorder="1"/>
    <xf numFmtId="3" fontId="10" fillId="0" borderId="15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wrapText="1"/>
    </xf>
    <xf numFmtId="3" fontId="19" fillId="0" borderId="15" xfId="0" applyNumberFormat="1" applyFont="1" applyFill="1" applyBorder="1" applyAlignment="1">
      <alignment wrapText="1"/>
    </xf>
    <xf numFmtId="0" fontId="10" fillId="0" borderId="15" xfId="1" applyFont="1" applyFill="1" applyBorder="1" applyAlignment="1">
      <alignment horizontal="left" wrapText="1"/>
    </xf>
    <xf numFmtId="3" fontId="8" fillId="0" borderId="15" xfId="0" applyNumberFormat="1" applyFont="1" applyFill="1" applyBorder="1"/>
    <xf numFmtId="0" fontId="8" fillId="0" borderId="15" xfId="1" applyFont="1" applyFill="1" applyBorder="1" applyAlignment="1">
      <alignment horizontal="left" wrapText="1"/>
    </xf>
    <xf numFmtId="3" fontId="19" fillId="0" borderId="15" xfId="0" applyNumberFormat="1" applyFont="1" applyFill="1" applyBorder="1"/>
    <xf numFmtId="3" fontId="23" fillId="0" borderId="15" xfId="0" applyNumberFormat="1" applyFont="1" applyFill="1" applyBorder="1" applyAlignment="1">
      <alignment wrapText="1"/>
    </xf>
    <xf numFmtId="3" fontId="24" fillId="0" borderId="15" xfId="0" applyNumberFormat="1" applyFont="1" applyFill="1" applyBorder="1" applyAlignment="1">
      <alignment horizontal="center"/>
    </xf>
    <xf numFmtId="3" fontId="25" fillId="0" borderId="15" xfId="0" applyNumberFormat="1" applyFont="1" applyFill="1" applyBorder="1"/>
    <xf numFmtId="3" fontId="25" fillId="0" borderId="15" xfId="0" applyNumberFormat="1" applyFont="1" applyFill="1" applyBorder="1" applyAlignment="1">
      <alignment wrapText="1"/>
    </xf>
    <xf numFmtId="3" fontId="21" fillId="0" borderId="15" xfId="0" applyNumberFormat="1" applyFont="1" applyFill="1" applyBorder="1"/>
    <xf numFmtId="0" fontId="10" fillId="0" borderId="15" xfId="1" applyFont="1" applyFill="1" applyBorder="1" applyAlignment="1">
      <alignment wrapText="1"/>
    </xf>
    <xf numFmtId="0" fontId="10" fillId="0" borderId="15" xfId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 wrapText="1"/>
    </xf>
    <xf numFmtId="0" fontId="23" fillId="0" borderId="15" xfId="1" quotePrefix="1" applyFont="1" applyFill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center" wrapText="1"/>
    </xf>
    <xf numFmtId="0" fontId="23" fillId="0" borderId="15" xfId="1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horizontal="center" wrapText="1"/>
    </xf>
    <xf numFmtId="3" fontId="10" fillId="0" borderId="15" xfId="0" applyNumberFormat="1" applyFont="1" applyFill="1" applyBorder="1"/>
    <xf numFmtId="3" fontId="5" fillId="0" borderId="15" xfId="0" applyNumberFormat="1" applyFont="1" applyFill="1" applyBorder="1" applyAlignment="1">
      <alignment wrapText="1"/>
    </xf>
    <xf numFmtId="3" fontId="19" fillId="0" borderId="15" xfId="0" applyNumberFormat="1" applyFont="1" applyFill="1" applyBorder="1" applyAlignment="1">
      <alignment horizontal="left" wrapText="1"/>
    </xf>
    <xf numFmtId="3" fontId="11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/>
    <xf numFmtId="3" fontId="11" fillId="0" borderId="15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/>
    <xf numFmtId="3" fontId="9" fillId="0" borderId="15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3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Continuous" wrapText="1"/>
    </xf>
    <xf numFmtId="0" fontId="29" fillId="0" borderId="0" xfId="0" applyFont="1" applyFill="1"/>
    <xf numFmtId="2" fontId="14" fillId="0" borderId="15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8" fillId="0" borderId="0" xfId="0" applyFont="1" applyFill="1"/>
    <xf numFmtId="0" fontId="11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wrapText="1"/>
    </xf>
    <xf numFmtId="4" fontId="20" fillId="0" borderId="15" xfId="0" applyNumberFormat="1" applyFont="1" applyFill="1" applyBorder="1"/>
    <xf numFmtId="4" fontId="5" fillId="0" borderId="15" xfId="0" applyNumberFormat="1" applyFont="1" applyFill="1" applyBorder="1"/>
    <xf numFmtId="0" fontId="9" fillId="0" borderId="0" xfId="0" applyFont="1" applyFill="1"/>
    <xf numFmtId="0" fontId="2" fillId="0" borderId="15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/>
    <xf numFmtId="0" fontId="19" fillId="0" borderId="0" xfId="0" applyFont="1" applyFill="1"/>
    <xf numFmtId="4" fontId="20" fillId="0" borderId="15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4" fontId="9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30" fillId="0" borderId="15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3" fontId="20" fillId="0" borderId="15" xfId="0" applyNumberFormat="1" applyFont="1" applyFill="1" applyBorder="1"/>
    <xf numFmtId="0" fontId="16" fillId="0" borderId="15" xfId="0" applyFont="1" applyFill="1" applyBorder="1" applyAlignment="1">
      <alignment vertical="center" wrapText="1"/>
    </xf>
    <xf numFmtId="0" fontId="10" fillId="0" borderId="0" xfId="0" applyFont="1" applyFill="1"/>
    <xf numFmtId="3" fontId="8" fillId="0" borderId="15" xfId="0" applyNumberFormat="1" applyFont="1" applyFill="1" applyBorder="1" applyAlignment="1">
      <alignment wrapText="1"/>
    </xf>
    <xf numFmtId="0" fontId="5" fillId="0" borderId="15" xfId="1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wrapText="1"/>
    </xf>
    <xf numFmtId="0" fontId="31" fillId="0" borderId="15" xfId="1" applyFont="1" applyFill="1" applyBorder="1" applyAlignment="1">
      <alignment wrapText="1"/>
    </xf>
    <xf numFmtId="0" fontId="20" fillId="0" borderId="15" xfId="1" applyFont="1" applyFill="1" applyBorder="1" applyAlignment="1">
      <alignment horizontal="left" vertical="center" wrapText="1"/>
    </xf>
    <xf numFmtId="3" fontId="20" fillId="0" borderId="15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 wrapText="1"/>
    </xf>
    <xf numFmtId="3" fontId="20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wrapText="1"/>
    </xf>
    <xf numFmtId="0" fontId="20" fillId="0" borderId="15" xfId="1" quotePrefix="1" applyFont="1" applyFill="1" applyBorder="1" applyAlignment="1">
      <alignment horizontal="left"/>
    </xf>
    <xf numFmtId="0" fontId="9" fillId="0" borderId="15" xfId="1" applyFont="1" applyFill="1" applyBorder="1" applyAlignment="1">
      <alignment horizontal="center"/>
    </xf>
    <xf numFmtId="0" fontId="20" fillId="0" borderId="0" xfId="0" applyFont="1" applyFill="1"/>
    <xf numFmtId="0" fontId="8" fillId="0" borderId="15" xfId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left" wrapText="1"/>
    </xf>
    <xf numFmtId="0" fontId="20" fillId="0" borderId="15" xfId="1" applyFont="1" applyFill="1" applyBorder="1" applyAlignment="1">
      <alignment horizontal="left" wrapText="1"/>
    </xf>
    <xf numFmtId="0" fontId="5" fillId="0" borderId="20" xfId="1" applyFont="1" applyFill="1" applyBorder="1" applyAlignment="1">
      <alignment horizontal="left" wrapText="1"/>
    </xf>
    <xf numFmtId="3" fontId="15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33" fillId="0" borderId="18" xfId="0" applyNumberFormat="1" applyFont="1" applyFill="1" applyBorder="1" applyAlignment="1">
      <alignment horizontal="right"/>
    </xf>
    <xf numFmtId="4" fontId="5" fillId="0" borderId="21" xfId="0" applyNumberFormat="1" applyFont="1" applyFill="1" applyBorder="1"/>
    <xf numFmtId="4" fontId="5" fillId="0" borderId="0" xfId="0" applyNumberFormat="1" applyFont="1" applyFill="1" applyBorder="1"/>
    <xf numFmtId="2" fontId="8" fillId="0" borderId="0" xfId="0" applyNumberFormat="1" applyFont="1" applyFill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6" fillId="5" borderId="15" xfId="0" applyFont="1" applyFill="1" applyBorder="1" applyAlignment="1">
      <alignment horizontal="center" vertical="center" wrapText="1"/>
    </xf>
    <xf numFmtId="3" fontId="36" fillId="5" borderId="15" xfId="0" applyNumberFormat="1" applyFont="1" applyFill="1" applyBorder="1" applyAlignment="1">
      <alignment vertical="center"/>
    </xf>
    <xf numFmtId="3" fontId="36" fillId="0" borderId="15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 wrapText="1"/>
    </xf>
    <xf numFmtId="3" fontId="35" fillId="0" borderId="15" xfId="0" applyNumberFormat="1" applyFont="1" applyFill="1" applyBorder="1" applyAlignment="1">
      <alignment vertical="center"/>
    </xf>
    <xf numFmtId="0" fontId="34" fillId="6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3" fontId="35" fillId="0" borderId="15" xfId="0" applyNumberFormat="1" applyFont="1" applyFill="1" applyBorder="1" applyAlignment="1">
      <alignment vertical="center" wrapText="1"/>
    </xf>
    <xf numFmtId="0" fontId="34" fillId="2" borderId="15" xfId="0" applyFont="1" applyFill="1" applyBorder="1" applyAlignment="1">
      <alignment horizontal="center" vertical="center"/>
    </xf>
    <xf numFmtId="3" fontId="34" fillId="2" borderId="15" xfId="0" applyNumberFormat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3" fontId="36" fillId="5" borderId="15" xfId="0" applyNumberFormat="1" applyFont="1" applyFill="1" applyBorder="1" applyAlignment="1">
      <alignment horizontal="right" vertical="center"/>
    </xf>
    <xf numFmtId="3" fontId="36" fillId="0" borderId="15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3" fontId="35" fillId="0" borderId="18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wrapText="1"/>
    </xf>
    <xf numFmtId="3" fontId="34" fillId="0" borderId="15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left" vertical="center" wrapText="1"/>
    </xf>
    <xf numFmtId="0" fontId="35" fillId="0" borderId="15" xfId="2" applyFont="1" applyFill="1" applyBorder="1" applyAlignment="1">
      <alignment horizontal="left" vertical="center" wrapText="1"/>
    </xf>
    <xf numFmtId="3" fontId="34" fillId="0" borderId="15" xfId="0" applyNumberFormat="1" applyFont="1" applyFill="1" applyBorder="1" applyAlignment="1">
      <alignment horizontal="center" vertical="center"/>
    </xf>
    <xf numFmtId="3" fontId="36" fillId="5" borderId="15" xfId="0" applyNumberFormat="1" applyFont="1" applyFill="1" applyBorder="1" applyAlignment="1">
      <alignment horizontal="right" vertical="center" wrapText="1"/>
    </xf>
    <xf numFmtId="3" fontId="34" fillId="2" borderId="0" xfId="0" applyNumberFormat="1" applyFont="1" applyFill="1" applyBorder="1" applyAlignment="1">
      <alignment horizontal="center" vertical="center"/>
    </xf>
    <xf numFmtId="3" fontId="35" fillId="2" borderId="0" xfId="0" applyNumberFormat="1" applyFont="1" applyFill="1" applyBorder="1" applyAlignment="1">
      <alignment vertical="center" wrapText="1"/>
    </xf>
    <xf numFmtId="3" fontId="35" fillId="2" borderId="0" xfId="0" applyNumberFormat="1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 wrapText="1"/>
    </xf>
    <xf numFmtId="3" fontId="5" fillId="4" borderId="15" xfId="0" applyNumberFormat="1" applyFont="1" applyFill="1" applyBorder="1"/>
    <xf numFmtId="0" fontId="3" fillId="4" borderId="15" xfId="0" applyFont="1" applyFill="1" applyBorder="1" applyAlignment="1">
      <alignment horizontal="right"/>
    </xf>
    <xf numFmtId="3" fontId="2" fillId="2" borderId="0" xfId="0" applyNumberFormat="1" applyFont="1" applyFill="1" applyAlignment="1">
      <alignment vertical="center" wrapText="1"/>
    </xf>
    <xf numFmtId="0" fontId="2" fillId="4" borderId="8" xfId="0" applyFont="1" applyFill="1" applyBorder="1" applyAlignment="1">
      <alignment horizontal="centerContinuous" vertical="center"/>
    </xf>
    <xf numFmtId="0" fontId="2" fillId="4" borderId="8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Continuous" wrapText="1"/>
    </xf>
    <xf numFmtId="3" fontId="3" fillId="4" borderId="10" xfId="0" applyNumberFormat="1" applyFont="1" applyFill="1" applyBorder="1" applyAlignment="1" applyProtection="1">
      <alignment horizontal="centerContinuous" wrapText="1"/>
      <protection locked="0"/>
    </xf>
    <xf numFmtId="3" fontId="3" fillId="4" borderId="9" xfId="0" applyNumberFormat="1" applyFont="1" applyFill="1" applyBorder="1" applyAlignment="1">
      <alignment horizontal="centerContinuous"/>
    </xf>
    <xf numFmtId="3" fontId="3" fillId="4" borderId="10" xfId="0" applyNumberFormat="1" applyFont="1" applyFill="1" applyBorder="1" applyAlignment="1" applyProtection="1">
      <alignment horizontal="centerContinuous"/>
      <protection locked="0"/>
    </xf>
    <xf numFmtId="3" fontId="3" fillId="4" borderId="11" xfId="0" applyNumberFormat="1" applyFont="1" applyFill="1" applyBorder="1" applyAlignment="1" applyProtection="1">
      <alignment horizontal="centerContinuous"/>
      <protection locked="0"/>
    </xf>
    <xf numFmtId="3" fontId="3" fillId="4" borderId="2" xfId="0" applyNumberFormat="1" applyFont="1" applyFill="1" applyBorder="1" applyAlignment="1">
      <alignment horizontal="centerContinuous" vertical="center" wrapText="1"/>
    </xf>
    <xf numFmtId="3" fontId="3" fillId="4" borderId="5" xfId="0" applyNumberFormat="1" applyFont="1" applyFill="1" applyBorder="1" applyAlignment="1">
      <alignment horizontal="centerContinuous" vertical="center" wrapText="1"/>
    </xf>
    <xf numFmtId="3" fontId="3" fillId="4" borderId="2" xfId="0" applyNumberFormat="1" applyFont="1" applyFill="1" applyBorder="1" applyAlignment="1">
      <alignment horizontal="centerContinuous"/>
    </xf>
    <xf numFmtId="3" fontId="3" fillId="4" borderId="7" xfId="0" applyNumberFormat="1" applyFont="1" applyFill="1" applyBorder="1" applyAlignment="1" applyProtection="1">
      <alignment horizontal="centerContinuous"/>
      <protection locked="0"/>
    </xf>
    <xf numFmtId="3" fontId="3" fillId="4" borderId="2" xfId="0" applyNumberFormat="1" applyFont="1" applyFill="1" applyBorder="1" applyAlignment="1" applyProtection="1">
      <alignment horizontal="centerContinuous"/>
      <protection locked="0"/>
    </xf>
    <xf numFmtId="3" fontId="3" fillId="4" borderId="5" xfId="0" applyNumberFormat="1" applyFont="1" applyFill="1" applyBorder="1" applyAlignment="1">
      <alignment horizontal="centerContinuous" wrapText="1"/>
    </xf>
    <xf numFmtId="3" fontId="3" fillId="4" borderId="2" xfId="0" applyNumberFormat="1" applyFont="1" applyFill="1" applyBorder="1" applyAlignment="1">
      <alignment horizontal="centerContinuous" wrapText="1"/>
    </xf>
    <xf numFmtId="3" fontId="3" fillId="4" borderId="5" xfId="0" applyNumberFormat="1" applyFont="1" applyFill="1" applyBorder="1" applyAlignment="1">
      <alignment horizontal="centerContinuous"/>
    </xf>
    <xf numFmtId="3" fontId="38" fillId="4" borderId="5" xfId="0" applyNumberFormat="1" applyFont="1" applyFill="1" applyBorder="1" applyAlignment="1">
      <alignment horizontal="centerContinuous" wrapText="1"/>
    </xf>
    <xf numFmtId="3" fontId="38" fillId="4" borderId="5" xfId="0" applyNumberFormat="1" applyFont="1" applyFill="1" applyBorder="1" applyAlignment="1">
      <alignment horizontal="centerContinuous"/>
    </xf>
    <xf numFmtId="3" fontId="38" fillId="4" borderId="2" xfId="0" applyNumberFormat="1" applyFont="1" applyFill="1" applyBorder="1" applyAlignment="1">
      <alignment horizontal="centerContinuous"/>
    </xf>
    <xf numFmtId="3" fontId="3" fillId="4" borderId="7" xfId="0" applyNumberFormat="1" applyFont="1" applyFill="1" applyBorder="1" applyAlignment="1">
      <alignment horizontal="centerContinuous"/>
    </xf>
    <xf numFmtId="3" fontId="3" fillId="4" borderId="10" xfId="0" applyNumberFormat="1" applyFont="1" applyFill="1" applyBorder="1" applyAlignment="1">
      <alignment horizontal="centerContinuous"/>
    </xf>
    <xf numFmtId="3" fontId="3" fillId="4" borderId="10" xfId="0" applyNumberFormat="1" applyFont="1" applyFill="1" applyBorder="1" applyAlignment="1">
      <alignment horizontal="centerContinuous" wrapText="1"/>
    </xf>
    <xf numFmtId="3" fontId="3" fillId="4" borderId="10" xfId="0" applyNumberFormat="1" applyFont="1" applyFill="1" applyBorder="1" applyAlignment="1">
      <alignment horizontal="centerContinuous" vertical="center"/>
    </xf>
    <xf numFmtId="3" fontId="3" fillId="4" borderId="12" xfId="0" applyNumberFormat="1" applyFont="1" applyFill="1" applyBorder="1" applyAlignment="1">
      <alignment horizontal="centerContinuous" vertical="center" wrapText="1"/>
    </xf>
    <xf numFmtId="3" fontId="3" fillId="4" borderId="5" xfId="0" applyNumberFormat="1" applyFont="1" applyFill="1" applyBorder="1" applyAlignment="1">
      <alignment horizontal="centerContinuous" vertical="center"/>
    </xf>
    <xf numFmtId="3" fontId="3" fillId="4" borderId="2" xfId="0" applyNumberFormat="1" applyFont="1" applyFill="1" applyBorder="1" applyAlignment="1">
      <alignment horizontal="centerContinuous" vertical="center"/>
    </xf>
    <xf numFmtId="49" fontId="3" fillId="4" borderId="5" xfId="0" applyNumberFormat="1" applyFont="1" applyFill="1" applyBorder="1" applyAlignment="1">
      <alignment horizontal="centerContinuous" vertical="center" wrapText="1"/>
    </xf>
    <xf numFmtId="49" fontId="3" fillId="4" borderId="2" xfId="0" applyNumberFormat="1" applyFont="1" applyFill="1" applyBorder="1" applyAlignment="1">
      <alignment horizontal="centerContinuous" vertical="center" wrapText="1"/>
    </xf>
    <xf numFmtId="3" fontId="2" fillId="4" borderId="7" xfId="0" applyNumberFormat="1" applyFont="1" applyFill="1" applyBorder="1" applyAlignment="1">
      <alignment horizontal="centerContinuous" vertical="center" wrapText="1"/>
    </xf>
    <xf numFmtId="3" fontId="4" fillId="4" borderId="10" xfId="0" applyNumberFormat="1" applyFont="1" applyFill="1" applyBorder="1" applyAlignment="1">
      <alignment horizontal="centerContinuous"/>
    </xf>
    <xf numFmtId="3" fontId="2" fillId="4" borderId="0" xfId="0" applyNumberFormat="1" applyFont="1" applyFill="1"/>
    <xf numFmtId="0" fontId="2" fillId="4" borderId="12" xfId="0" applyFont="1" applyFill="1" applyBorder="1" applyAlignment="1">
      <alignment horizontal="centerContinuous" vertical="center" wrapText="1"/>
    </xf>
    <xf numFmtId="0" fontId="2" fillId="4" borderId="12" xfId="0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 wrapText="1"/>
    </xf>
    <xf numFmtId="3" fontId="2" fillId="4" borderId="0" xfId="0" applyNumberFormat="1" applyFont="1" applyFill="1" applyAlignment="1">
      <alignment wrapText="1"/>
    </xf>
    <xf numFmtId="0" fontId="2" fillId="4" borderId="1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Continuous"/>
    </xf>
    <xf numFmtId="3" fontId="3" fillId="4" borderId="4" xfId="0" applyNumberFormat="1" applyFont="1" applyFill="1" applyBorder="1" applyAlignment="1">
      <alignment horizontal="centerContinuous"/>
    </xf>
    <xf numFmtId="3" fontId="3" fillId="4" borderId="6" xfId="0" applyNumberFormat="1" applyFont="1" applyFill="1" applyBorder="1" applyAlignment="1" applyProtection="1">
      <alignment horizontal="centerContinuous"/>
      <protection locked="0"/>
    </xf>
    <xf numFmtId="3" fontId="3" fillId="4" borderId="3" xfId="0" applyNumberFormat="1" applyFont="1" applyFill="1" applyBorder="1" applyAlignment="1">
      <alignment horizontal="centerContinuous" wrapText="1"/>
    </xf>
    <xf numFmtId="0" fontId="3" fillId="4" borderId="4" xfId="0" applyNumberFormat="1" applyFont="1" applyFill="1" applyBorder="1" applyAlignment="1">
      <alignment horizontal="centerContinuous" vertical="center"/>
    </xf>
    <xf numFmtId="3" fontId="3" fillId="4" borderId="6" xfId="0" applyNumberFormat="1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 applyProtection="1">
      <alignment horizontal="centerContinuous" wrapText="1"/>
      <protection locked="0"/>
    </xf>
    <xf numFmtId="3" fontId="4" fillId="4" borderId="10" xfId="0" applyNumberFormat="1" applyFont="1" applyFill="1" applyBorder="1" applyAlignment="1">
      <alignment horizontal="centerContinuous" wrapText="1"/>
    </xf>
    <xf numFmtId="3" fontId="4" fillId="4" borderId="9" xfId="0" applyNumberFormat="1" applyFont="1" applyFill="1" applyBorder="1" applyAlignment="1">
      <alignment horizontal="centerContinuous" wrapText="1"/>
    </xf>
    <xf numFmtId="0" fontId="2" fillId="4" borderId="0" xfId="0" applyFont="1" applyFill="1" applyAlignment="1">
      <alignment vertical="center" wrapText="1"/>
    </xf>
    <xf numFmtId="3" fontId="3" fillId="4" borderId="4" xfId="0" applyNumberFormat="1" applyFont="1" applyFill="1" applyBorder="1" applyAlignment="1" applyProtection="1">
      <alignment horizontal="centerContinuous"/>
      <protection locked="0"/>
    </xf>
    <xf numFmtId="49" fontId="3" fillId="4" borderId="2" xfId="0" applyNumberFormat="1" applyFont="1" applyFill="1" applyBorder="1" applyAlignment="1">
      <alignment horizontal="centerContinuous" vertical="center"/>
    </xf>
    <xf numFmtId="49" fontId="3" fillId="4" borderId="5" xfId="0" applyNumberFormat="1" applyFont="1" applyFill="1" applyBorder="1" applyAlignment="1">
      <alignment horizontal="centerContinuous" vertical="center"/>
    </xf>
    <xf numFmtId="49" fontId="2" fillId="4" borderId="2" xfId="0" applyNumberFormat="1" applyFont="1" applyFill="1" applyBorder="1" applyAlignment="1">
      <alignment horizontal="centerContinuous"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 applyProtection="1">
      <alignment horizontal="centerContinuous" wrapText="1"/>
      <protection locked="0"/>
    </xf>
    <xf numFmtId="0" fontId="16" fillId="0" borderId="19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center" wrapText="1"/>
    </xf>
    <xf numFmtId="3" fontId="3" fillId="4" borderId="6" xfId="0" applyNumberFormat="1" applyFont="1" applyFill="1" applyBorder="1" applyAlignment="1">
      <alignment horizont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wrapText="1"/>
    </xf>
    <xf numFmtId="3" fontId="3" fillId="4" borderId="7" xfId="0" applyNumberFormat="1" applyFont="1" applyFill="1" applyBorder="1" applyAlignment="1">
      <alignment horizontal="center" wrapText="1"/>
    </xf>
    <xf numFmtId="3" fontId="3" fillId="4" borderId="9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8" fillId="4" borderId="9" xfId="0" applyNumberFormat="1" applyFont="1" applyFill="1" applyBorder="1" applyAlignment="1">
      <alignment horizontal="center" vertical="center" wrapText="1"/>
    </xf>
    <xf numFmtId="0" fontId="38" fillId="4" borderId="10" xfId="0" applyNumberFormat="1" applyFont="1" applyFill="1" applyBorder="1" applyAlignment="1">
      <alignment horizontal="center" vertical="center" wrapText="1"/>
    </xf>
    <xf numFmtId="0" fontId="38" fillId="4" borderId="11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EBK_PROJECT_2001-la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MITOVA\Users\Public\OTCHET_12_2023_Proekt_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№1-Приходи за държ.д-сти"/>
      <sheetName val="Пр.№2-Местни приходи"/>
      <sheetName val="Подробна-Държавни"/>
      <sheetName val="Подробна_Местни"/>
      <sheetName val="Компактор и булдозер"/>
      <sheetName val="Поделения"/>
      <sheetName val="Поделения 2020"/>
    </sheetNames>
    <sheetDataSet>
      <sheetData sheetId="0">
        <row r="57">
          <cell r="J57">
            <v>-6687196</v>
          </cell>
        </row>
      </sheetData>
      <sheetData sheetId="1">
        <row r="117">
          <cell r="J117">
            <v>-5403823</v>
          </cell>
        </row>
      </sheetData>
      <sheetData sheetId="2" refreshError="1"/>
      <sheetData sheetId="3">
        <row r="8">
          <cell r="C8">
            <v>122488</v>
          </cell>
          <cell r="D8">
            <v>122488</v>
          </cell>
        </row>
        <row r="9">
          <cell r="C9">
            <v>52850</v>
          </cell>
          <cell r="D9">
            <v>52850</v>
          </cell>
          <cell r="I9">
            <v>43750</v>
          </cell>
        </row>
        <row r="11">
          <cell r="C11">
            <v>1031000</v>
          </cell>
          <cell r="D11">
            <v>1031000</v>
          </cell>
        </row>
        <row r="12">
          <cell r="C12">
            <v>100</v>
          </cell>
          <cell r="D12">
            <v>100</v>
          </cell>
        </row>
        <row r="13">
          <cell r="C13">
            <v>2680000</v>
          </cell>
          <cell r="D13">
            <v>2680000</v>
          </cell>
        </row>
        <row r="14">
          <cell r="C14">
            <v>1846163</v>
          </cell>
          <cell r="D14">
            <v>1846163</v>
          </cell>
        </row>
        <row r="15">
          <cell r="C15">
            <v>17000</v>
          </cell>
          <cell r="D15">
            <v>17000</v>
          </cell>
        </row>
        <row r="16">
          <cell r="C16">
            <v>1000</v>
          </cell>
          <cell r="D16">
            <v>1000</v>
          </cell>
        </row>
        <row r="20">
          <cell r="C20">
            <v>797910</v>
          </cell>
        </row>
        <row r="43">
          <cell r="C43">
            <v>858315</v>
          </cell>
        </row>
        <row r="54">
          <cell r="C54">
            <v>160000</v>
          </cell>
          <cell r="D54">
            <v>160000</v>
          </cell>
        </row>
        <row r="55">
          <cell r="C55">
            <v>8000</v>
          </cell>
          <cell r="D55">
            <v>8000</v>
          </cell>
        </row>
        <row r="56">
          <cell r="C56">
            <v>50</v>
          </cell>
          <cell r="D56">
            <v>50</v>
          </cell>
        </row>
        <row r="57">
          <cell r="C57">
            <v>200</v>
          </cell>
          <cell r="D57">
            <v>200</v>
          </cell>
        </row>
        <row r="60">
          <cell r="C60">
            <v>120000</v>
          </cell>
          <cell r="D60">
            <v>120000</v>
          </cell>
        </row>
        <row r="61">
          <cell r="C61">
            <v>46000</v>
          </cell>
          <cell r="D61">
            <v>46000</v>
          </cell>
        </row>
        <row r="62">
          <cell r="C62">
            <v>180000</v>
          </cell>
          <cell r="D62">
            <v>180000</v>
          </cell>
        </row>
        <row r="65">
          <cell r="C65">
            <v>674533</v>
          </cell>
          <cell r="D65">
            <v>674533</v>
          </cell>
        </row>
        <row r="73">
          <cell r="C73">
            <v>4718684</v>
          </cell>
          <cell r="D73">
            <v>4718684</v>
          </cell>
        </row>
        <row r="74">
          <cell r="C74">
            <v>50000</v>
          </cell>
          <cell r="D74">
            <v>50000</v>
          </cell>
        </row>
        <row r="75">
          <cell r="C75">
            <v>180800</v>
          </cell>
        </row>
        <row r="80">
          <cell r="C80">
            <v>19000</v>
          </cell>
          <cell r="D80">
            <v>19000</v>
          </cell>
        </row>
        <row r="81">
          <cell r="C81">
            <v>1500</v>
          </cell>
          <cell r="D81">
            <v>1500</v>
          </cell>
        </row>
        <row r="82">
          <cell r="C82">
            <v>284364</v>
          </cell>
          <cell r="D82">
            <v>284364</v>
          </cell>
        </row>
        <row r="90">
          <cell r="C90">
            <v>350000</v>
          </cell>
          <cell r="D90">
            <v>350000</v>
          </cell>
        </row>
        <row r="98">
          <cell r="C98">
            <v>315000</v>
          </cell>
          <cell r="D98">
            <v>315000</v>
          </cell>
        </row>
        <row r="106">
          <cell r="C106">
            <v>2000</v>
          </cell>
        </row>
        <row r="107">
          <cell r="C107">
            <v>50000</v>
          </cell>
        </row>
        <row r="109">
          <cell r="C109">
            <v>781045</v>
          </cell>
          <cell r="D109">
            <v>781058</v>
          </cell>
        </row>
        <row r="137">
          <cell r="C137">
            <v>-850000</v>
          </cell>
          <cell r="D137">
            <v>-850000</v>
          </cell>
        </row>
        <row r="141">
          <cell r="C141">
            <v>-85000</v>
          </cell>
          <cell r="D141">
            <v>-85055</v>
          </cell>
        </row>
        <row r="142">
          <cell r="C142">
            <v>274130</v>
          </cell>
          <cell r="D142">
            <v>274130</v>
          </cell>
        </row>
        <row r="143">
          <cell r="D143">
            <v>19200</v>
          </cell>
        </row>
        <row r="144">
          <cell r="I144">
            <v>0</v>
          </cell>
        </row>
        <row r="158">
          <cell r="C158">
            <v>830150</v>
          </cell>
          <cell r="D158">
            <v>830150</v>
          </cell>
        </row>
        <row r="162">
          <cell r="C162">
            <v>30000</v>
          </cell>
          <cell r="D162">
            <v>30000</v>
          </cell>
        </row>
        <row r="163">
          <cell r="C163">
            <v>5246500</v>
          </cell>
          <cell r="D163">
            <v>5246500</v>
          </cell>
        </row>
        <row r="171">
          <cell r="C171">
            <v>5267100</v>
          </cell>
          <cell r="D171">
            <v>5267100</v>
          </cell>
        </row>
        <row r="172">
          <cell r="C172">
            <v>337700</v>
          </cell>
          <cell r="D172">
            <v>337700</v>
          </cell>
        </row>
        <row r="173">
          <cell r="C173">
            <v>1939200</v>
          </cell>
          <cell r="D173">
            <v>2611400</v>
          </cell>
        </row>
        <row r="179">
          <cell r="C179">
            <v>3226494</v>
          </cell>
          <cell r="D179">
            <v>3241229</v>
          </cell>
        </row>
        <row r="198">
          <cell r="C198">
            <v>-251602</v>
          </cell>
          <cell r="D198">
            <v>-251602</v>
          </cell>
          <cell r="I198">
            <v>0</v>
          </cell>
        </row>
        <row r="201">
          <cell r="C201">
            <v>0</v>
          </cell>
          <cell r="D201">
            <v>0</v>
          </cell>
          <cell r="I201">
            <v>0</v>
          </cell>
        </row>
        <row r="204">
          <cell r="C204">
            <v>-3643430</v>
          </cell>
          <cell r="D204">
            <v>-3643430</v>
          </cell>
        </row>
        <row r="213">
          <cell r="C213">
            <v>0</v>
          </cell>
          <cell r="I213">
            <v>0</v>
          </cell>
        </row>
        <row r="227">
          <cell r="C227">
            <v>2532097</v>
          </cell>
          <cell r="D227">
            <v>2532097</v>
          </cell>
        </row>
        <row r="274">
          <cell r="C274">
            <v>0</v>
          </cell>
          <cell r="D274">
            <v>0</v>
          </cell>
        </row>
        <row r="275">
          <cell r="C275">
            <v>30000</v>
          </cell>
          <cell r="D275">
            <v>30000</v>
          </cell>
        </row>
        <row r="277">
          <cell r="C277">
            <v>0</v>
          </cell>
          <cell r="D277">
            <v>0</v>
          </cell>
        </row>
        <row r="279">
          <cell r="C279">
            <v>-1398769</v>
          </cell>
          <cell r="D279">
            <v>-1398769</v>
          </cell>
        </row>
        <row r="282">
          <cell r="C282">
            <v>390622</v>
          </cell>
          <cell r="D282">
            <v>390622</v>
          </cell>
        </row>
        <row r="286">
          <cell r="C286">
            <v>-644400</v>
          </cell>
          <cell r="D286">
            <v>-644400</v>
          </cell>
        </row>
        <row r="291">
          <cell r="C291">
            <v>-137900</v>
          </cell>
          <cell r="D291">
            <v>-137900</v>
          </cell>
        </row>
        <row r="294">
          <cell r="C294">
            <v>-3472063</v>
          </cell>
          <cell r="D294">
            <v>-3472063</v>
          </cell>
        </row>
        <row r="307">
          <cell r="C307">
            <v>5814872</v>
          </cell>
          <cell r="D307">
            <v>5814872</v>
          </cell>
        </row>
        <row r="313">
          <cell r="C313">
            <v>790226</v>
          </cell>
          <cell r="D313">
            <v>790226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Zeros="0" workbookViewId="0">
      <selection activeCell="I5" sqref="I5"/>
    </sheetView>
  </sheetViews>
  <sheetFormatPr defaultRowHeight="14.25"/>
  <cols>
    <col min="1" max="1" width="48.85546875" style="195" customWidth="1"/>
    <col min="2" max="2" width="7.28515625" style="196" customWidth="1"/>
    <col min="3" max="4" width="13.42578125" style="112" hidden="1" customWidth="1"/>
    <col min="5" max="5" width="13.85546875" style="112" hidden="1" customWidth="1"/>
    <col min="6" max="6" width="12.5703125" style="112" hidden="1" customWidth="1"/>
    <col min="7" max="7" width="11.28515625" style="112" hidden="1" customWidth="1"/>
    <col min="8" max="8" width="14.5703125" style="112" customWidth="1"/>
    <col min="9" max="9" width="13" style="112" customWidth="1"/>
    <col min="10" max="10" width="14.7109375" style="112" customWidth="1"/>
    <col min="11" max="11" width="11.42578125" style="113" bestFit="1" customWidth="1"/>
    <col min="12" max="253" width="9.140625" style="113"/>
    <col min="254" max="254" width="48.85546875" style="113" customWidth="1"/>
    <col min="255" max="255" width="7.28515625" style="113" customWidth="1"/>
    <col min="256" max="260" width="0" style="113" hidden="1" customWidth="1"/>
    <col min="261" max="261" width="17.140625" style="113" customWidth="1"/>
    <col min="262" max="262" width="14" style="113" customWidth="1"/>
    <col min="263" max="264" width="13.85546875" style="113" customWidth="1"/>
    <col min="265" max="265" width="11.28515625" style="113" customWidth="1"/>
    <col min="266" max="266" width="14.7109375" style="113" customWidth="1"/>
    <col min="267" max="509" width="9.140625" style="113"/>
    <col min="510" max="510" width="48.85546875" style="113" customWidth="1"/>
    <col min="511" max="511" width="7.28515625" style="113" customWidth="1"/>
    <col min="512" max="516" width="0" style="113" hidden="1" customWidth="1"/>
    <col min="517" max="517" width="17.140625" style="113" customWidth="1"/>
    <col min="518" max="518" width="14" style="113" customWidth="1"/>
    <col min="519" max="520" width="13.85546875" style="113" customWidth="1"/>
    <col min="521" max="521" width="11.28515625" style="113" customWidth="1"/>
    <col min="522" max="522" width="14.7109375" style="113" customWidth="1"/>
    <col min="523" max="765" width="9.140625" style="113"/>
    <col min="766" max="766" width="48.85546875" style="113" customWidth="1"/>
    <col min="767" max="767" width="7.28515625" style="113" customWidth="1"/>
    <col min="768" max="772" width="0" style="113" hidden="1" customWidth="1"/>
    <col min="773" max="773" width="17.140625" style="113" customWidth="1"/>
    <col min="774" max="774" width="14" style="113" customWidth="1"/>
    <col min="775" max="776" width="13.85546875" style="113" customWidth="1"/>
    <col min="777" max="777" width="11.28515625" style="113" customWidth="1"/>
    <col min="778" max="778" width="14.7109375" style="113" customWidth="1"/>
    <col min="779" max="1021" width="9.140625" style="113"/>
    <col min="1022" max="1022" width="48.85546875" style="113" customWidth="1"/>
    <col min="1023" max="1023" width="7.28515625" style="113" customWidth="1"/>
    <col min="1024" max="1028" width="0" style="113" hidden="1" customWidth="1"/>
    <col min="1029" max="1029" width="17.140625" style="113" customWidth="1"/>
    <col min="1030" max="1030" width="14" style="113" customWidth="1"/>
    <col min="1031" max="1032" width="13.85546875" style="113" customWidth="1"/>
    <col min="1033" max="1033" width="11.28515625" style="113" customWidth="1"/>
    <col min="1034" max="1034" width="14.7109375" style="113" customWidth="1"/>
    <col min="1035" max="1277" width="9.140625" style="113"/>
    <col min="1278" max="1278" width="48.85546875" style="113" customWidth="1"/>
    <col min="1279" max="1279" width="7.28515625" style="113" customWidth="1"/>
    <col min="1280" max="1284" width="0" style="113" hidden="1" customWidth="1"/>
    <col min="1285" max="1285" width="17.140625" style="113" customWidth="1"/>
    <col min="1286" max="1286" width="14" style="113" customWidth="1"/>
    <col min="1287" max="1288" width="13.85546875" style="113" customWidth="1"/>
    <col min="1289" max="1289" width="11.28515625" style="113" customWidth="1"/>
    <col min="1290" max="1290" width="14.7109375" style="113" customWidth="1"/>
    <col min="1291" max="1533" width="9.140625" style="113"/>
    <col min="1534" max="1534" width="48.85546875" style="113" customWidth="1"/>
    <col min="1535" max="1535" width="7.28515625" style="113" customWidth="1"/>
    <col min="1536" max="1540" width="0" style="113" hidden="1" customWidth="1"/>
    <col min="1541" max="1541" width="17.140625" style="113" customWidth="1"/>
    <col min="1542" max="1542" width="14" style="113" customWidth="1"/>
    <col min="1543" max="1544" width="13.85546875" style="113" customWidth="1"/>
    <col min="1545" max="1545" width="11.28515625" style="113" customWidth="1"/>
    <col min="1546" max="1546" width="14.7109375" style="113" customWidth="1"/>
    <col min="1547" max="1789" width="9.140625" style="113"/>
    <col min="1790" max="1790" width="48.85546875" style="113" customWidth="1"/>
    <col min="1791" max="1791" width="7.28515625" style="113" customWidth="1"/>
    <col min="1792" max="1796" width="0" style="113" hidden="1" customWidth="1"/>
    <col min="1797" max="1797" width="17.140625" style="113" customWidth="1"/>
    <col min="1798" max="1798" width="14" style="113" customWidth="1"/>
    <col min="1799" max="1800" width="13.85546875" style="113" customWidth="1"/>
    <col min="1801" max="1801" width="11.28515625" style="113" customWidth="1"/>
    <col min="1802" max="1802" width="14.7109375" style="113" customWidth="1"/>
    <col min="1803" max="2045" width="9.140625" style="113"/>
    <col min="2046" max="2046" width="48.85546875" style="113" customWidth="1"/>
    <col min="2047" max="2047" width="7.28515625" style="113" customWidth="1"/>
    <col min="2048" max="2052" width="0" style="113" hidden="1" customWidth="1"/>
    <col min="2053" max="2053" width="17.140625" style="113" customWidth="1"/>
    <col min="2054" max="2054" width="14" style="113" customWidth="1"/>
    <col min="2055" max="2056" width="13.85546875" style="113" customWidth="1"/>
    <col min="2057" max="2057" width="11.28515625" style="113" customWidth="1"/>
    <col min="2058" max="2058" width="14.7109375" style="113" customWidth="1"/>
    <col min="2059" max="2301" width="9.140625" style="113"/>
    <col min="2302" max="2302" width="48.85546875" style="113" customWidth="1"/>
    <col min="2303" max="2303" width="7.28515625" style="113" customWidth="1"/>
    <col min="2304" max="2308" width="0" style="113" hidden="1" customWidth="1"/>
    <col min="2309" max="2309" width="17.140625" style="113" customWidth="1"/>
    <col min="2310" max="2310" width="14" style="113" customWidth="1"/>
    <col min="2311" max="2312" width="13.85546875" style="113" customWidth="1"/>
    <col min="2313" max="2313" width="11.28515625" style="113" customWidth="1"/>
    <col min="2314" max="2314" width="14.7109375" style="113" customWidth="1"/>
    <col min="2315" max="2557" width="9.140625" style="113"/>
    <col min="2558" max="2558" width="48.85546875" style="113" customWidth="1"/>
    <col min="2559" max="2559" width="7.28515625" style="113" customWidth="1"/>
    <col min="2560" max="2564" width="0" style="113" hidden="1" customWidth="1"/>
    <col min="2565" max="2565" width="17.140625" style="113" customWidth="1"/>
    <col min="2566" max="2566" width="14" style="113" customWidth="1"/>
    <col min="2567" max="2568" width="13.85546875" style="113" customWidth="1"/>
    <col min="2569" max="2569" width="11.28515625" style="113" customWidth="1"/>
    <col min="2570" max="2570" width="14.7109375" style="113" customWidth="1"/>
    <col min="2571" max="2813" width="9.140625" style="113"/>
    <col min="2814" max="2814" width="48.85546875" style="113" customWidth="1"/>
    <col min="2815" max="2815" width="7.28515625" style="113" customWidth="1"/>
    <col min="2816" max="2820" width="0" style="113" hidden="1" customWidth="1"/>
    <col min="2821" max="2821" width="17.140625" style="113" customWidth="1"/>
    <col min="2822" max="2822" width="14" style="113" customWidth="1"/>
    <col min="2823" max="2824" width="13.85546875" style="113" customWidth="1"/>
    <col min="2825" max="2825" width="11.28515625" style="113" customWidth="1"/>
    <col min="2826" max="2826" width="14.7109375" style="113" customWidth="1"/>
    <col min="2827" max="3069" width="9.140625" style="113"/>
    <col min="3070" max="3070" width="48.85546875" style="113" customWidth="1"/>
    <col min="3071" max="3071" width="7.28515625" style="113" customWidth="1"/>
    <col min="3072" max="3076" width="0" style="113" hidden="1" customWidth="1"/>
    <col min="3077" max="3077" width="17.140625" style="113" customWidth="1"/>
    <col min="3078" max="3078" width="14" style="113" customWidth="1"/>
    <col min="3079" max="3080" width="13.85546875" style="113" customWidth="1"/>
    <col min="3081" max="3081" width="11.28515625" style="113" customWidth="1"/>
    <col min="3082" max="3082" width="14.7109375" style="113" customWidth="1"/>
    <col min="3083" max="3325" width="9.140625" style="113"/>
    <col min="3326" max="3326" width="48.85546875" style="113" customWidth="1"/>
    <col min="3327" max="3327" width="7.28515625" style="113" customWidth="1"/>
    <col min="3328" max="3332" width="0" style="113" hidden="1" customWidth="1"/>
    <col min="3333" max="3333" width="17.140625" style="113" customWidth="1"/>
    <col min="3334" max="3334" width="14" style="113" customWidth="1"/>
    <col min="3335" max="3336" width="13.85546875" style="113" customWidth="1"/>
    <col min="3337" max="3337" width="11.28515625" style="113" customWidth="1"/>
    <col min="3338" max="3338" width="14.7109375" style="113" customWidth="1"/>
    <col min="3339" max="3581" width="9.140625" style="113"/>
    <col min="3582" max="3582" width="48.85546875" style="113" customWidth="1"/>
    <col min="3583" max="3583" width="7.28515625" style="113" customWidth="1"/>
    <col min="3584" max="3588" width="0" style="113" hidden="1" customWidth="1"/>
    <col min="3589" max="3589" width="17.140625" style="113" customWidth="1"/>
    <col min="3590" max="3590" width="14" style="113" customWidth="1"/>
    <col min="3591" max="3592" width="13.85546875" style="113" customWidth="1"/>
    <col min="3593" max="3593" width="11.28515625" style="113" customWidth="1"/>
    <col min="3594" max="3594" width="14.7109375" style="113" customWidth="1"/>
    <col min="3595" max="3837" width="9.140625" style="113"/>
    <col min="3838" max="3838" width="48.85546875" style="113" customWidth="1"/>
    <col min="3839" max="3839" width="7.28515625" style="113" customWidth="1"/>
    <col min="3840" max="3844" width="0" style="113" hidden="1" customWidth="1"/>
    <col min="3845" max="3845" width="17.140625" style="113" customWidth="1"/>
    <col min="3846" max="3846" width="14" style="113" customWidth="1"/>
    <col min="3847" max="3848" width="13.85546875" style="113" customWidth="1"/>
    <col min="3849" max="3849" width="11.28515625" style="113" customWidth="1"/>
    <col min="3850" max="3850" width="14.7109375" style="113" customWidth="1"/>
    <col min="3851" max="4093" width="9.140625" style="113"/>
    <col min="4094" max="4094" width="48.85546875" style="113" customWidth="1"/>
    <col min="4095" max="4095" width="7.28515625" style="113" customWidth="1"/>
    <col min="4096" max="4100" width="0" style="113" hidden="1" customWidth="1"/>
    <col min="4101" max="4101" width="17.140625" style="113" customWidth="1"/>
    <col min="4102" max="4102" width="14" style="113" customWidth="1"/>
    <col min="4103" max="4104" width="13.85546875" style="113" customWidth="1"/>
    <col min="4105" max="4105" width="11.28515625" style="113" customWidth="1"/>
    <col min="4106" max="4106" width="14.7109375" style="113" customWidth="1"/>
    <col min="4107" max="4349" width="9.140625" style="113"/>
    <col min="4350" max="4350" width="48.85546875" style="113" customWidth="1"/>
    <col min="4351" max="4351" width="7.28515625" style="113" customWidth="1"/>
    <col min="4352" max="4356" width="0" style="113" hidden="1" customWidth="1"/>
    <col min="4357" max="4357" width="17.140625" style="113" customWidth="1"/>
    <col min="4358" max="4358" width="14" style="113" customWidth="1"/>
    <col min="4359" max="4360" width="13.85546875" style="113" customWidth="1"/>
    <col min="4361" max="4361" width="11.28515625" style="113" customWidth="1"/>
    <col min="4362" max="4362" width="14.7109375" style="113" customWidth="1"/>
    <col min="4363" max="4605" width="9.140625" style="113"/>
    <col min="4606" max="4606" width="48.85546875" style="113" customWidth="1"/>
    <col min="4607" max="4607" width="7.28515625" style="113" customWidth="1"/>
    <col min="4608" max="4612" width="0" style="113" hidden="1" customWidth="1"/>
    <col min="4613" max="4613" width="17.140625" style="113" customWidth="1"/>
    <col min="4614" max="4614" width="14" style="113" customWidth="1"/>
    <col min="4615" max="4616" width="13.85546875" style="113" customWidth="1"/>
    <col min="4617" max="4617" width="11.28515625" style="113" customWidth="1"/>
    <col min="4618" max="4618" width="14.7109375" style="113" customWidth="1"/>
    <col min="4619" max="4861" width="9.140625" style="113"/>
    <col min="4862" max="4862" width="48.85546875" style="113" customWidth="1"/>
    <col min="4863" max="4863" width="7.28515625" style="113" customWidth="1"/>
    <col min="4864" max="4868" width="0" style="113" hidden="1" customWidth="1"/>
    <col min="4869" max="4869" width="17.140625" style="113" customWidth="1"/>
    <col min="4870" max="4870" width="14" style="113" customWidth="1"/>
    <col min="4871" max="4872" width="13.85546875" style="113" customWidth="1"/>
    <col min="4873" max="4873" width="11.28515625" style="113" customWidth="1"/>
    <col min="4874" max="4874" width="14.7109375" style="113" customWidth="1"/>
    <col min="4875" max="5117" width="9.140625" style="113"/>
    <col min="5118" max="5118" width="48.85546875" style="113" customWidth="1"/>
    <col min="5119" max="5119" width="7.28515625" style="113" customWidth="1"/>
    <col min="5120" max="5124" width="0" style="113" hidden="1" customWidth="1"/>
    <col min="5125" max="5125" width="17.140625" style="113" customWidth="1"/>
    <col min="5126" max="5126" width="14" style="113" customWidth="1"/>
    <col min="5127" max="5128" width="13.85546875" style="113" customWidth="1"/>
    <col min="5129" max="5129" width="11.28515625" style="113" customWidth="1"/>
    <col min="5130" max="5130" width="14.7109375" style="113" customWidth="1"/>
    <col min="5131" max="5373" width="9.140625" style="113"/>
    <col min="5374" max="5374" width="48.85546875" style="113" customWidth="1"/>
    <col min="5375" max="5375" width="7.28515625" style="113" customWidth="1"/>
    <col min="5376" max="5380" width="0" style="113" hidden="1" customWidth="1"/>
    <col min="5381" max="5381" width="17.140625" style="113" customWidth="1"/>
    <col min="5382" max="5382" width="14" style="113" customWidth="1"/>
    <col min="5383" max="5384" width="13.85546875" style="113" customWidth="1"/>
    <col min="5385" max="5385" width="11.28515625" style="113" customWidth="1"/>
    <col min="5386" max="5386" width="14.7109375" style="113" customWidth="1"/>
    <col min="5387" max="5629" width="9.140625" style="113"/>
    <col min="5630" max="5630" width="48.85546875" style="113" customWidth="1"/>
    <col min="5631" max="5631" width="7.28515625" style="113" customWidth="1"/>
    <col min="5632" max="5636" width="0" style="113" hidden="1" customWidth="1"/>
    <col min="5637" max="5637" width="17.140625" style="113" customWidth="1"/>
    <col min="5638" max="5638" width="14" style="113" customWidth="1"/>
    <col min="5639" max="5640" width="13.85546875" style="113" customWidth="1"/>
    <col min="5641" max="5641" width="11.28515625" style="113" customWidth="1"/>
    <col min="5642" max="5642" width="14.7109375" style="113" customWidth="1"/>
    <col min="5643" max="5885" width="9.140625" style="113"/>
    <col min="5886" max="5886" width="48.85546875" style="113" customWidth="1"/>
    <col min="5887" max="5887" width="7.28515625" style="113" customWidth="1"/>
    <col min="5888" max="5892" width="0" style="113" hidden="1" customWidth="1"/>
    <col min="5893" max="5893" width="17.140625" style="113" customWidth="1"/>
    <col min="5894" max="5894" width="14" style="113" customWidth="1"/>
    <col min="5895" max="5896" width="13.85546875" style="113" customWidth="1"/>
    <col min="5897" max="5897" width="11.28515625" style="113" customWidth="1"/>
    <col min="5898" max="5898" width="14.7109375" style="113" customWidth="1"/>
    <col min="5899" max="6141" width="9.140625" style="113"/>
    <col min="6142" max="6142" width="48.85546875" style="113" customWidth="1"/>
    <col min="6143" max="6143" width="7.28515625" style="113" customWidth="1"/>
    <col min="6144" max="6148" width="0" style="113" hidden="1" customWidth="1"/>
    <col min="6149" max="6149" width="17.140625" style="113" customWidth="1"/>
    <col min="6150" max="6150" width="14" style="113" customWidth="1"/>
    <col min="6151" max="6152" width="13.85546875" style="113" customWidth="1"/>
    <col min="6153" max="6153" width="11.28515625" style="113" customWidth="1"/>
    <col min="6154" max="6154" width="14.7109375" style="113" customWidth="1"/>
    <col min="6155" max="6397" width="9.140625" style="113"/>
    <col min="6398" max="6398" width="48.85546875" style="113" customWidth="1"/>
    <col min="6399" max="6399" width="7.28515625" style="113" customWidth="1"/>
    <col min="6400" max="6404" width="0" style="113" hidden="1" customWidth="1"/>
    <col min="6405" max="6405" width="17.140625" style="113" customWidth="1"/>
    <col min="6406" max="6406" width="14" style="113" customWidth="1"/>
    <col min="6407" max="6408" width="13.85546875" style="113" customWidth="1"/>
    <col min="6409" max="6409" width="11.28515625" style="113" customWidth="1"/>
    <col min="6410" max="6410" width="14.7109375" style="113" customWidth="1"/>
    <col min="6411" max="6653" width="9.140625" style="113"/>
    <col min="6654" max="6654" width="48.85546875" style="113" customWidth="1"/>
    <col min="6655" max="6655" width="7.28515625" style="113" customWidth="1"/>
    <col min="6656" max="6660" width="0" style="113" hidden="1" customWidth="1"/>
    <col min="6661" max="6661" width="17.140625" style="113" customWidth="1"/>
    <col min="6662" max="6662" width="14" style="113" customWidth="1"/>
    <col min="6663" max="6664" width="13.85546875" style="113" customWidth="1"/>
    <col min="6665" max="6665" width="11.28515625" style="113" customWidth="1"/>
    <col min="6666" max="6666" width="14.7109375" style="113" customWidth="1"/>
    <col min="6667" max="6909" width="9.140625" style="113"/>
    <col min="6910" max="6910" width="48.85546875" style="113" customWidth="1"/>
    <col min="6911" max="6911" width="7.28515625" style="113" customWidth="1"/>
    <col min="6912" max="6916" width="0" style="113" hidden="1" customWidth="1"/>
    <col min="6917" max="6917" width="17.140625" style="113" customWidth="1"/>
    <col min="6918" max="6918" width="14" style="113" customWidth="1"/>
    <col min="6919" max="6920" width="13.85546875" style="113" customWidth="1"/>
    <col min="6921" max="6921" width="11.28515625" style="113" customWidth="1"/>
    <col min="6922" max="6922" width="14.7109375" style="113" customWidth="1"/>
    <col min="6923" max="7165" width="9.140625" style="113"/>
    <col min="7166" max="7166" width="48.85546875" style="113" customWidth="1"/>
    <col min="7167" max="7167" width="7.28515625" style="113" customWidth="1"/>
    <col min="7168" max="7172" width="0" style="113" hidden="1" customWidth="1"/>
    <col min="7173" max="7173" width="17.140625" style="113" customWidth="1"/>
    <col min="7174" max="7174" width="14" style="113" customWidth="1"/>
    <col min="7175" max="7176" width="13.85546875" style="113" customWidth="1"/>
    <col min="7177" max="7177" width="11.28515625" style="113" customWidth="1"/>
    <col min="7178" max="7178" width="14.7109375" style="113" customWidth="1"/>
    <col min="7179" max="7421" width="9.140625" style="113"/>
    <col min="7422" max="7422" width="48.85546875" style="113" customWidth="1"/>
    <col min="7423" max="7423" width="7.28515625" style="113" customWidth="1"/>
    <col min="7424" max="7428" width="0" style="113" hidden="1" customWidth="1"/>
    <col min="7429" max="7429" width="17.140625" style="113" customWidth="1"/>
    <col min="7430" max="7430" width="14" style="113" customWidth="1"/>
    <col min="7431" max="7432" width="13.85546875" style="113" customWidth="1"/>
    <col min="7433" max="7433" width="11.28515625" style="113" customWidth="1"/>
    <col min="7434" max="7434" width="14.7109375" style="113" customWidth="1"/>
    <col min="7435" max="7677" width="9.140625" style="113"/>
    <col min="7678" max="7678" width="48.85546875" style="113" customWidth="1"/>
    <col min="7679" max="7679" width="7.28515625" style="113" customWidth="1"/>
    <col min="7680" max="7684" width="0" style="113" hidden="1" customWidth="1"/>
    <col min="7685" max="7685" width="17.140625" style="113" customWidth="1"/>
    <col min="7686" max="7686" width="14" style="113" customWidth="1"/>
    <col min="7687" max="7688" width="13.85546875" style="113" customWidth="1"/>
    <col min="7689" max="7689" width="11.28515625" style="113" customWidth="1"/>
    <col min="7690" max="7690" width="14.7109375" style="113" customWidth="1"/>
    <col min="7691" max="7933" width="9.140625" style="113"/>
    <col min="7934" max="7934" width="48.85546875" style="113" customWidth="1"/>
    <col min="7935" max="7935" width="7.28515625" style="113" customWidth="1"/>
    <col min="7936" max="7940" width="0" style="113" hidden="1" customWidth="1"/>
    <col min="7941" max="7941" width="17.140625" style="113" customWidth="1"/>
    <col min="7942" max="7942" width="14" style="113" customWidth="1"/>
    <col min="7943" max="7944" width="13.85546875" style="113" customWidth="1"/>
    <col min="7945" max="7945" width="11.28515625" style="113" customWidth="1"/>
    <col min="7946" max="7946" width="14.7109375" style="113" customWidth="1"/>
    <col min="7947" max="8189" width="9.140625" style="113"/>
    <col min="8190" max="8190" width="48.85546875" style="113" customWidth="1"/>
    <col min="8191" max="8191" width="7.28515625" style="113" customWidth="1"/>
    <col min="8192" max="8196" width="0" style="113" hidden="1" customWidth="1"/>
    <col min="8197" max="8197" width="17.140625" style="113" customWidth="1"/>
    <col min="8198" max="8198" width="14" style="113" customWidth="1"/>
    <col min="8199" max="8200" width="13.85546875" style="113" customWidth="1"/>
    <col min="8201" max="8201" width="11.28515625" style="113" customWidth="1"/>
    <col min="8202" max="8202" width="14.7109375" style="113" customWidth="1"/>
    <col min="8203" max="8445" width="9.140625" style="113"/>
    <col min="8446" max="8446" width="48.85546875" style="113" customWidth="1"/>
    <col min="8447" max="8447" width="7.28515625" style="113" customWidth="1"/>
    <col min="8448" max="8452" width="0" style="113" hidden="1" customWidth="1"/>
    <col min="8453" max="8453" width="17.140625" style="113" customWidth="1"/>
    <col min="8454" max="8454" width="14" style="113" customWidth="1"/>
    <col min="8455" max="8456" width="13.85546875" style="113" customWidth="1"/>
    <col min="8457" max="8457" width="11.28515625" style="113" customWidth="1"/>
    <col min="8458" max="8458" width="14.7109375" style="113" customWidth="1"/>
    <col min="8459" max="8701" width="9.140625" style="113"/>
    <col min="8702" max="8702" width="48.85546875" style="113" customWidth="1"/>
    <col min="8703" max="8703" width="7.28515625" style="113" customWidth="1"/>
    <col min="8704" max="8708" width="0" style="113" hidden="1" customWidth="1"/>
    <col min="8709" max="8709" width="17.140625" style="113" customWidth="1"/>
    <col min="8710" max="8710" width="14" style="113" customWidth="1"/>
    <col min="8711" max="8712" width="13.85546875" style="113" customWidth="1"/>
    <col min="8713" max="8713" width="11.28515625" style="113" customWidth="1"/>
    <col min="8714" max="8714" width="14.7109375" style="113" customWidth="1"/>
    <col min="8715" max="8957" width="9.140625" style="113"/>
    <col min="8958" max="8958" width="48.85546875" style="113" customWidth="1"/>
    <col min="8959" max="8959" width="7.28515625" style="113" customWidth="1"/>
    <col min="8960" max="8964" width="0" style="113" hidden="1" customWidth="1"/>
    <col min="8965" max="8965" width="17.140625" style="113" customWidth="1"/>
    <col min="8966" max="8966" width="14" style="113" customWidth="1"/>
    <col min="8967" max="8968" width="13.85546875" style="113" customWidth="1"/>
    <col min="8969" max="8969" width="11.28515625" style="113" customWidth="1"/>
    <col min="8970" max="8970" width="14.7109375" style="113" customWidth="1"/>
    <col min="8971" max="9213" width="9.140625" style="113"/>
    <col min="9214" max="9214" width="48.85546875" style="113" customWidth="1"/>
    <col min="9215" max="9215" width="7.28515625" style="113" customWidth="1"/>
    <col min="9216" max="9220" width="0" style="113" hidden="1" customWidth="1"/>
    <col min="9221" max="9221" width="17.140625" style="113" customWidth="1"/>
    <col min="9222" max="9222" width="14" style="113" customWidth="1"/>
    <col min="9223" max="9224" width="13.85546875" style="113" customWidth="1"/>
    <col min="9225" max="9225" width="11.28515625" style="113" customWidth="1"/>
    <col min="9226" max="9226" width="14.7109375" style="113" customWidth="1"/>
    <col min="9227" max="9469" width="9.140625" style="113"/>
    <col min="9470" max="9470" width="48.85546875" style="113" customWidth="1"/>
    <col min="9471" max="9471" width="7.28515625" style="113" customWidth="1"/>
    <col min="9472" max="9476" width="0" style="113" hidden="1" customWidth="1"/>
    <col min="9477" max="9477" width="17.140625" style="113" customWidth="1"/>
    <col min="9478" max="9478" width="14" style="113" customWidth="1"/>
    <col min="9479" max="9480" width="13.85546875" style="113" customWidth="1"/>
    <col min="9481" max="9481" width="11.28515625" style="113" customWidth="1"/>
    <col min="9482" max="9482" width="14.7109375" style="113" customWidth="1"/>
    <col min="9483" max="9725" width="9.140625" style="113"/>
    <col min="9726" max="9726" width="48.85546875" style="113" customWidth="1"/>
    <col min="9727" max="9727" width="7.28515625" style="113" customWidth="1"/>
    <col min="9728" max="9732" width="0" style="113" hidden="1" customWidth="1"/>
    <col min="9733" max="9733" width="17.140625" style="113" customWidth="1"/>
    <col min="9734" max="9734" width="14" style="113" customWidth="1"/>
    <col min="9735" max="9736" width="13.85546875" style="113" customWidth="1"/>
    <col min="9737" max="9737" width="11.28515625" style="113" customWidth="1"/>
    <col min="9738" max="9738" width="14.7109375" style="113" customWidth="1"/>
    <col min="9739" max="9981" width="9.140625" style="113"/>
    <col min="9982" max="9982" width="48.85546875" style="113" customWidth="1"/>
    <col min="9983" max="9983" width="7.28515625" style="113" customWidth="1"/>
    <col min="9984" max="9988" width="0" style="113" hidden="1" customWidth="1"/>
    <col min="9989" max="9989" width="17.140625" style="113" customWidth="1"/>
    <col min="9990" max="9990" width="14" style="113" customWidth="1"/>
    <col min="9991" max="9992" width="13.85546875" style="113" customWidth="1"/>
    <col min="9993" max="9993" width="11.28515625" style="113" customWidth="1"/>
    <col min="9994" max="9994" width="14.7109375" style="113" customWidth="1"/>
    <col min="9995" max="10237" width="9.140625" style="113"/>
    <col min="10238" max="10238" width="48.85546875" style="113" customWidth="1"/>
    <col min="10239" max="10239" width="7.28515625" style="113" customWidth="1"/>
    <col min="10240" max="10244" width="0" style="113" hidden="1" customWidth="1"/>
    <col min="10245" max="10245" width="17.140625" style="113" customWidth="1"/>
    <col min="10246" max="10246" width="14" style="113" customWidth="1"/>
    <col min="10247" max="10248" width="13.85546875" style="113" customWidth="1"/>
    <col min="10249" max="10249" width="11.28515625" style="113" customWidth="1"/>
    <col min="10250" max="10250" width="14.7109375" style="113" customWidth="1"/>
    <col min="10251" max="10493" width="9.140625" style="113"/>
    <col min="10494" max="10494" width="48.85546875" style="113" customWidth="1"/>
    <col min="10495" max="10495" width="7.28515625" style="113" customWidth="1"/>
    <col min="10496" max="10500" width="0" style="113" hidden="1" customWidth="1"/>
    <col min="10501" max="10501" width="17.140625" style="113" customWidth="1"/>
    <col min="10502" max="10502" width="14" style="113" customWidth="1"/>
    <col min="10503" max="10504" width="13.85546875" style="113" customWidth="1"/>
    <col min="10505" max="10505" width="11.28515625" style="113" customWidth="1"/>
    <col min="10506" max="10506" width="14.7109375" style="113" customWidth="1"/>
    <col min="10507" max="10749" width="9.140625" style="113"/>
    <col min="10750" max="10750" width="48.85546875" style="113" customWidth="1"/>
    <col min="10751" max="10751" width="7.28515625" style="113" customWidth="1"/>
    <col min="10752" max="10756" width="0" style="113" hidden="1" customWidth="1"/>
    <col min="10757" max="10757" width="17.140625" style="113" customWidth="1"/>
    <col min="10758" max="10758" width="14" style="113" customWidth="1"/>
    <col min="10759" max="10760" width="13.85546875" style="113" customWidth="1"/>
    <col min="10761" max="10761" width="11.28515625" style="113" customWidth="1"/>
    <col min="10762" max="10762" width="14.7109375" style="113" customWidth="1"/>
    <col min="10763" max="11005" width="9.140625" style="113"/>
    <col min="11006" max="11006" width="48.85546875" style="113" customWidth="1"/>
    <col min="11007" max="11007" width="7.28515625" style="113" customWidth="1"/>
    <col min="11008" max="11012" width="0" style="113" hidden="1" customWidth="1"/>
    <col min="11013" max="11013" width="17.140625" style="113" customWidth="1"/>
    <col min="11014" max="11014" width="14" style="113" customWidth="1"/>
    <col min="11015" max="11016" width="13.85546875" style="113" customWidth="1"/>
    <col min="11017" max="11017" width="11.28515625" style="113" customWidth="1"/>
    <col min="11018" max="11018" width="14.7109375" style="113" customWidth="1"/>
    <col min="11019" max="11261" width="9.140625" style="113"/>
    <col min="11262" max="11262" width="48.85546875" style="113" customWidth="1"/>
    <col min="11263" max="11263" width="7.28515625" style="113" customWidth="1"/>
    <col min="11264" max="11268" width="0" style="113" hidden="1" customWidth="1"/>
    <col min="11269" max="11269" width="17.140625" style="113" customWidth="1"/>
    <col min="11270" max="11270" width="14" style="113" customWidth="1"/>
    <col min="11271" max="11272" width="13.85546875" style="113" customWidth="1"/>
    <col min="11273" max="11273" width="11.28515625" style="113" customWidth="1"/>
    <col min="11274" max="11274" width="14.7109375" style="113" customWidth="1"/>
    <col min="11275" max="11517" width="9.140625" style="113"/>
    <col min="11518" max="11518" width="48.85546875" style="113" customWidth="1"/>
    <col min="11519" max="11519" width="7.28515625" style="113" customWidth="1"/>
    <col min="11520" max="11524" width="0" style="113" hidden="1" customWidth="1"/>
    <col min="11525" max="11525" width="17.140625" style="113" customWidth="1"/>
    <col min="11526" max="11526" width="14" style="113" customWidth="1"/>
    <col min="11527" max="11528" width="13.85546875" style="113" customWidth="1"/>
    <col min="11529" max="11529" width="11.28515625" style="113" customWidth="1"/>
    <col min="11530" max="11530" width="14.7109375" style="113" customWidth="1"/>
    <col min="11531" max="11773" width="9.140625" style="113"/>
    <col min="11774" max="11774" width="48.85546875" style="113" customWidth="1"/>
    <col min="11775" max="11775" width="7.28515625" style="113" customWidth="1"/>
    <col min="11776" max="11780" width="0" style="113" hidden="1" customWidth="1"/>
    <col min="11781" max="11781" width="17.140625" style="113" customWidth="1"/>
    <col min="11782" max="11782" width="14" style="113" customWidth="1"/>
    <col min="11783" max="11784" width="13.85546875" style="113" customWidth="1"/>
    <col min="11785" max="11785" width="11.28515625" style="113" customWidth="1"/>
    <col min="11786" max="11786" width="14.7109375" style="113" customWidth="1"/>
    <col min="11787" max="12029" width="9.140625" style="113"/>
    <col min="12030" max="12030" width="48.85546875" style="113" customWidth="1"/>
    <col min="12031" max="12031" width="7.28515625" style="113" customWidth="1"/>
    <col min="12032" max="12036" width="0" style="113" hidden="1" customWidth="1"/>
    <col min="12037" max="12037" width="17.140625" style="113" customWidth="1"/>
    <col min="12038" max="12038" width="14" style="113" customWidth="1"/>
    <col min="12039" max="12040" width="13.85546875" style="113" customWidth="1"/>
    <col min="12041" max="12041" width="11.28515625" style="113" customWidth="1"/>
    <col min="12042" max="12042" width="14.7109375" style="113" customWidth="1"/>
    <col min="12043" max="12285" width="9.140625" style="113"/>
    <col min="12286" max="12286" width="48.85546875" style="113" customWidth="1"/>
    <col min="12287" max="12287" width="7.28515625" style="113" customWidth="1"/>
    <col min="12288" max="12292" width="0" style="113" hidden="1" customWidth="1"/>
    <col min="12293" max="12293" width="17.140625" style="113" customWidth="1"/>
    <col min="12294" max="12294" width="14" style="113" customWidth="1"/>
    <col min="12295" max="12296" width="13.85546875" style="113" customWidth="1"/>
    <col min="12297" max="12297" width="11.28515625" style="113" customWidth="1"/>
    <col min="12298" max="12298" width="14.7109375" style="113" customWidth="1"/>
    <col min="12299" max="12541" width="9.140625" style="113"/>
    <col min="12542" max="12542" width="48.85546875" style="113" customWidth="1"/>
    <col min="12543" max="12543" width="7.28515625" style="113" customWidth="1"/>
    <col min="12544" max="12548" width="0" style="113" hidden="1" customWidth="1"/>
    <col min="12549" max="12549" width="17.140625" style="113" customWidth="1"/>
    <col min="12550" max="12550" width="14" style="113" customWidth="1"/>
    <col min="12551" max="12552" width="13.85546875" style="113" customWidth="1"/>
    <col min="12553" max="12553" width="11.28515625" style="113" customWidth="1"/>
    <col min="12554" max="12554" width="14.7109375" style="113" customWidth="1"/>
    <col min="12555" max="12797" width="9.140625" style="113"/>
    <col min="12798" max="12798" width="48.85546875" style="113" customWidth="1"/>
    <col min="12799" max="12799" width="7.28515625" style="113" customWidth="1"/>
    <col min="12800" max="12804" width="0" style="113" hidden="1" customWidth="1"/>
    <col min="12805" max="12805" width="17.140625" style="113" customWidth="1"/>
    <col min="12806" max="12806" width="14" style="113" customWidth="1"/>
    <col min="12807" max="12808" width="13.85546875" style="113" customWidth="1"/>
    <col min="12809" max="12809" width="11.28515625" style="113" customWidth="1"/>
    <col min="12810" max="12810" width="14.7109375" style="113" customWidth="1"/>
    <col min="12811" max="13053" width="9.140625" style="113"/>
    <col min="13054" max="13054" width="48.85546875" style="113" customWidth="1"/>
    <col min="13055" max="13055" width="7.28515625" style="113" customWidth="1"/>
    <col min="13056" max="13060" width="0" style="113" hidden="1" customWidth="1"/>
    <col min="13061" max="13061" width="17.140625" style="113" customWidth="1"/>
    <col min="13062" max="13062" width="14" style="113" customWidth="1"/>
    <col min="13063" max="13064" width="13.85546875" style="113" customWidth="1"/>
    <col min="13065" max="13065" width="11.28515625" style="113" customWidth="1"/>
    <col min="13066" max="13066" width="14.7109375" style="113" customWidth="1"/>
    <col min="13067" max="13309" width="9.140625" style="113"/>
    <col min="13310" max="13310" width="48.85546875" style="113" customWidth="1"/>
    <col min="13311" max="13311" width="7.28515625" style="113" customWidth="1"/>
    <col min="13312" max="13316" width="0" style="113" hidden="1" customWidth="1"/>
    <col min="13317" max="13317" width="17.140625" style="113" customWidth="1"/>
    <col min="13318" max="13318" width="14" style="113" customWidth="1"/>
    <col min="13319" max="13320" width="13.85546875" style="113" customWidth="1"/>
    <col min="13321" max="13321" width="11.28515625" style="113" customWidth="1"/>
    <col min="13322" max="13322" width="14.7109375" style="113" customWidth="1"/>
    <col min="13323" max="13565" width="9.140625" style="113"/>
    <col min="13566" max="13566" width="48.85546875" style="113" customWidth="1"/>
    <col min="13567" max="13567" width="7.28515625" style="113" customWidth="1"/>
    <col min="13568" max="13572" width="0" style="113" hidden="1" customWidth="1"/>
    <col min="13573" max="13573" width="17.140625" style="113" customWidth="1"/>
    <col min="13574" max="13574" width="14" style="113" customWidth="1"/>
    <col min="13575" max="13576" width="13.85546875" style="113" customWidth="1"/>
    <col min="13577" max="13577" width="11.28515625" style="113" customWidth="1"/>
    <col min="13578" max="13578" width="14.7109375" style="113" customWidth="1"/>
    <col min="13579" max="13821" width="9.140625" style="113"/>
    <col min="13822" max="13822" width="48.85546875" style="113" customWidth="1"/>
    <col min="13823" max="13823" width="7.28515625" style="113" customWidth="1"/>
    <col min="13824" max="13828" width="0" style="113" hidden="1" customWidth="1"/>
    <col min="13829" max="13829" width="17.140625" style="113" customWidth="1"/>
    <col min="13830" max="13830" width="14" style="113" customWidth="1"/>
    <col min="13831" max="13832" width="13.85546875" style="113" customWidth="1"/>
    <col min="13833" max="13833" width="11.28515625" style="113" customWidth="1"/>
    <col min="13834" max="13834" width="14.7109375" style="113" customWidth="1"/>
    <col min="13835" max="14077" width="9.140625" style="113"/>
    <col min="14078" max="14078" width="48.85546875" style="113" customWidth="1"/>
    <col min="14079" max="14079" width="7.28515625" style="113" customWidth="1"/>
    <col min="14080" max="14084" width="0" style="113" hidden="1" customWidth="1"/>
    <col min="14085" max="14085" width="17.140625" style="113" customWidth="1"/>
    <col min="14086" max="14086" width="14" style="113" customWidth="1"/>
    <col min="14087" max="14088" width="13.85546875" style="113" customWidth="1"/>
    <col min="14089" max="14089" width="11.28515625" style="113" customWidth="1"/>
    <col min="14090" max="14090" width="14.7109375" style="113" customWidth="1"/>
    <col min="14091" max="14333" width="9.140625" style="113"/>
    <col min="14334" max="14334" width="48.85546875" style="113" customWidth="1"/>
    <col min="14335" max="14335" width="7.28515625" style="113" customWidth="1"/>
    <col min="14336" max="14340" width="0" style="113" hidden="1" customWidth="1"/>
    <col min="14341" max="14341" width="17.140625" style="113" customWidth="1"/>
    <col min="14342" max="14342" width="14" style="113" customWidth="1"/>
    <col min="14343" max="14344" width="13.85546875" style="113" customWidth="1"/>
    <col min="14345" max="14345" width="11.28515625" style="113" customWidth="1"/>
    <col min="14346" max="14346" width="14.7109375" style="113" customWidth="1"/>
    <col min="14347" max="14589" width="9.140625" style="113"/>
    <col min="14590" max="14590" width="48.85546875" style="113" customWidth="1"/>
    <col min="14591" max="14591" width="7.28515625" style="113" customWidth="1"/>
    <col min="14592" max="14596" width="0" style="113" hidden="1" customWidth="1"/>
    <col min="14597" max="14597" width="17.140625" style="113" customWidth="1"/>
    <col min="14598" max="14598" width="14" style="113" customWidth="1"/>
    <col min="14599" max="14600" width="13.85546875" style="113" customWidth="1"/>
    <col min="14601" max="14601" width="11.28515625" style="113" customWidth="1"/>
    <col min="14602" max="14602" width="14.7109375" style="113" customWidth="1"/>
    <col min="14603" max="14845" width="9.140625" style="113"/>
    <col min="14846" max="14846" width="48.85546875" style="113" customWidth="1"/>
    <col min="14847" max="14847" width="7.28515625" style="113" customWidth="1"/>
    <col min="14848" max="14852" width="0" style="113" hidden="1" customWidth="1"/>
    <col min="14853" max="14853" width="17.140625" style="113" customWidth="1"/>
    <col min="14854" max="14854" width="14" style="113" customWidth="1"/>
    <col min="14855" max="14856" width="13.85546875" style="113" customWidth="1"/>
    <col min="14857" max="14857" width="11.28515625" style="113" customWidth="1"/>
    <col min="14858" max="14858" width="14.7109375" style="113" customWidth="1"/>
    <col min="14859" max="15101" width="9.140625" style="113"/>
    <col min="15102" max="15102" width="48.85546875" style="113" customWidth="1"/>
    <col min="15103" max="15103" width="7.28515625" style="113" customWidth="1"/>
    <col min="15104" max="15108" width="0" style="113" hidden="1" customWidth="1"/>
    <col min="15109" max="15109" width="17.140625" style="113" customWidth="1"/>
    <col min="15110" max="15110" width="14" style="113" customWidth="1"/>
    <col min="15111" max="15112" width="13.85546875" style="113" customWidth="1"/>
    <col min="15113" max="15113" width="11.28515625" style="113" customWidth="1"/>
    <col min="15114" max="15114" width="14.7109375" style="113" customWidth="1"/>
    <col min="15115" max="15357" width="9.140625" style="113"/>
    <col min="15358" max="15358" width="48.85546875" style="113" customWidth="1"/>
    <col min="15359" max="15359" width="7.28515625" style="113" customWidth="1"/>
    <col min="15360" max="15364" width="0" style="113" hidden="1" customWidth="1"/>
    <col min="15365" max="15365" width="17.140625" style="113" customWidth="1"/>
    <col min="15366" max="15366" width="14" style="113" customWidth="1"/>
    <col min="15367" max="15368" width="13.85546875" style="113" customWidth="1"/>
    <col min="15369" max="15369" width="11.28515625" style="113" customWidth="1"/>
    <col min="15370" max="15370" width="14.7109375" style="113" customWidth="1"/>
    <col min="15371" max="15613" width="9.140625" style="113"/>
    <col min="15614" max="15614" width="48.85546875" style="113" customWidth="1"/>
    <col min="15615" max="15615" width="7.28515625" style="113" customWidth="1"/>
    <col min="15616" max="15620" width="0" style="113" hidden="1" customWidth="1"/>
    <col min="15621" max="15621" width="17.140625" style="113" customWidth="1"/>
    <col min="15622" max="15622" width="14" style="113" customWidth="1"/>
    <col min="15623" max="15624" width="13.85546875" style="113" customWidth="1"/>
    <col min="15625" max="15625" width="11.28515625" style="113" customWidth="1"/>
    <col min="15626" max="15626" width="14.7109375" style="113" customWidth="1"/>
    <col min="15627" max="15869" width="9.140625" style="113"/>
    <col min="15870" max="15870" width="48.85546875" style="113" customWidth="1"/>
    <col min="15871" max="15871" width="7.28515625" style="113" customWidth="1"/>
    <col min="15872" max="15876" width="0" style="113" hidden="1" customWidth="1"/>
    <col min="15877" max="15877" width="17.140625" style="113" customWidth="1"/>
    <col min="15878" max="15878" width="14" style="113" customWidth="1"/>
    <col min="15879" max="15880" width="13.85546875" style="113" customWidth="1"/>
    <col min="15881" max="15881" width="11.28515625" style="113" customWidth="1"/>
    <col min="15882" max="15882" width="14.7109375" style="113" customWidth="1"/>
    <col min="15883" max="16125" width="9.140625" style="113"/>
    <col min="16126" max="16126" width="48.85546875" style="113" customWidth="1"/>
    <col min="16127" max="16127" width="7.28515625" style="113" customWidth="1"/>
    <col min="16128" max="16132" width="0" style="113" hidden="1" customWidth="1"/>
    <col min="16133" max="16133" width="17.140625" style="113" customWidth="1"/>
    <col min="16134" max="16134" width="14" style="113" customWidth="1"/>
    <col min="16135" max="16136" width="13.85546875" style="113" customWidth="1"/>
    <col min="16137" max="16137" width="11.28515625" style="113" customWidth="1"/>
    <col min="16138" max="16138" width="14.7109375" style="113" customWidth="1"/>
    <col min="16139" max="16384" width="9.140625" style="113"/>
  </cols>
  <sheetData>
    <row r="1" spans="1:10" ht="9" customHeight="1">
      <c r="A1" s="110"/>
      <c r="B1" s="111"/>
    </row>
    <row r="2" spans="1:10" ht="12" customHeight="1">
      <c r="A2" s="1" t="s">
        <v>756</v>
      </c>
      <c r="B2" s="111"/>
    </row>
    <row r="3" spans="1:10" s="116" customFormat="1" ht="15" customHeight="1">
      <c r="A3" s="4" t="s">
        <v>1</v>
      </c>
      <c r="B3" s="114"/>
      <c r="C3" s="115"/>
      <c r="D3" s="115"/>
      <c r="E3" s="115"/>
      <c r="F3" s="115"/>
      <c r="G3" s="115"/>
      <c r="H3" s="115"/>
      <c r="I3" s="115"/>
      <c r="J3" s="115"/>
    </row>
    <row r="4" spans="1:10" s="120" customFormat="1" ht="17.25" customHeight="1">
      <c r="A4" s="117" t="s">
        <v>758</v>
      </c>
      <c r="B4" s="118"/>
      <c r="C4" s="119"/>
      <c r="D4" s="119"/>
      <c r="E4" s="119"/>
      <c r="F4" s="119"/>
      <c r="G4" s="119"/>
      <c r="H4" s="119"/>
      <c r="I4" s="119"/>
      <c r="J4" s="119"/>
    </row>
    <row r="5" spans="1:10" s="124" customFormat="1" ht="42.75">
      <c r="A5" s="121" t="s">
        <v>247</v>
      </c>
      <c r="B5" s="122" t="s">
        <v>248</v>
      </c>
      <c r="C5" s="123" t="s">
        <v>249</v>
      </c>
      <c r="D5" s="123" t="s">
        <v>250</v>
      </c>
      <c r="E5" s="123" t="s">
        <v>251</v>
      </c>
      <c r="F5" s="123" t="s">
        <v>252</v>
      </c>
      <c r="G5" s="123" t="s">
        <v>253</v>
      </c>
      <c r="H5" s="123" t="s">
        <v>360</v>
      </c>
      <c r="I5" s="123" t="s">
        <v>760</v>
      </c>
      <c r="J5" s="123" t="s">
        <v>254</v>
      </c>
    </row>
    <row r="6" spans="1:10" s="128" customFormat="1" ht="16.5" customHeight="1">
      <c r="A6" s="355" t="s">
        <v>255</v>
      </c>
      <c r="B6" s="356"/>
      <c r="C6" s="125"/>
      <c r="D6" s="125"/>
      <c r="E6" s="126" t="s">
        <v>256</v>
      </c>
      <c r="F6" s="126"/>
      <c r="G6" s="127"/>
      <c r="H6" s="125"/>
      <c r="I6" s="125"/>
      <c r="J6" s="125"/>
    </row>
    <row r="7" spans="1:10" s="136" customFormat="1" ht="15.75">
      <c r="A7" s="129" t="s">
        <v>257</v>
      </c>
      <c r="B7" s="130" t="s">
        <v>258</v>
      </c>
      <c r="C7" s="131">
        <f>SUM(C8)</f>
        <v>0</v>
      </c>
      <c r="D7" s="131">
        <f>SUM(D8)</f>
        <v>0</v>
      </c>
      <c r="E7" s="132">
        <f>SUM(E8)</f>
        <v>0</v>
      </c>
      <c r="F7" s="132">
        <f>SUM(F8)</f>
        <v>0</v>
      </c>
      <c r="G7" s="133"/>
      <c r="H7" s="134">
        <f>SUM(H8)</f>
        <v>0</v>
      </c>
      <c r="I7" s="134">
        <f>SUM(I8:I9)</f>
        <v>42464</v>
      </c>
      <c r="J7" s="134">
        <f>SUM(J8:J9)</f>
        <v>0</v>
      </c>
    </row>
    <row r="8" spans="1:10" s="141" customFormat="1" ht="15.75">
      <c r="A8" s="137" t="s">
        <v>259</v>
      </c>
      <c r="B8" s="138" t="s">
        <v>260</v>
      </c>
      <c r="C8" s="139"/>
      <c r="D8" s="139"/>
      <c r="E8" s="140"/>
      <c r="F8" s="140">
        <f>D8-E8</f>
        <v>0</v>
      </c>
      <c r="G8" s="133"/>
      <c r="H8" s="139"/>
      <c r="I8" s="139">
        <f>35029+9+932</f>
        <v>35970</v>
      </c>
      <c r="J8" s="139"/>
    </row>
    <row r="9" spans="1:10" s="141" customFormat="1" ht="15.75">
      <c r="A9" s="137" t="s">
        <v>261</v>
      </c>
      <c r="B9" s="138" t="s">
        <v>262</v>
      </c>
      <c r="C9" s="139"/>
      <c r="D9" s="139"/>
      <c r="E9" s="140"/>
      <c r="F9" s="140"/>
      <c r="G9" s="133"/>
      <c r="H9" s="139"/>
      <c r="I9" s="139">
        <v>6494</v>
      </c>
      <c r="J9" s="139"/>
    </row>
    <row r="10" spans="1:10" s="136" customFormat="1" ht="15.75">
      <c r="A10" s="129" t="s">
        <v>263</v>
      </c>
      <c r="B10" s="130" t="s">
        <v>264</v>
      </c>
      <c r="C10" s="134">
        <f>SUM(C11)</f>
        <v>0</v>
      </c>
      <c r="D10" s="134">
        <f>SUM(D11)</f>
        <v>0</v>
      </c>
      <c r="E10" s="140">
        <f>SUM(E11)</f>
        <v>0</v>
      </c>
      <c r="F10" s="140">
        <f>SUM(F11)</f>
        <v>0</v>
      </c>
      <c r="G10" s="133"/>
      <c r="H10" s="134">
        <f>SUM(H11)</f>
        <v>0</v>
      </c>
      <c r="I10" s="134">
        <f>SUM(I11)</f>
        <v>1788</v>
      </c>
      <c r="J10" s="134">
        <f>SUM(J11)</f>
        <v>0</v>
      </c>
    </row>
    <row r="11" spans="1:10" s="141" customFormat="1" ht="15">
      <c r="A11" s="137" t="s">
        <v>265</v>
      </c>
      <c r="B11" s="142" t="s">
        <v>266</v>
      </c>
      <c r="C11" s="139"/>
      <c r="D11" s="139"/>
      <c r="E11" s="140"/>
      <c r="F11" s="140">
        <f>D11-E11</f>
        <v>0</v>
      </c>
      <c r="G11" s="135"/>
      <c r="H11" s="139"/>
      <c r="I11" s="139">
        <f>584+1204</f>
        <v>1788</v>
      </c>
      <c r="J11" s="139"/>
    </row>
    <row r="12" spans="1:10" s="141" customFormat="1" ht="15.75">
      <c r="A12" s="143" t="s">
        <v>267</v>
      </c>
      <c r="B12" s="131" t="s">
        <v>268</v>
      </c>
      <c r="C12" s="139"/>
      <c r="D12" s="139"/>
      <c r="E12" s="140"/>
      <c r="F12" s="140"/>
      <c r="G12" s="135"/>
      <c r="H12" s="139"/>
      <c r="I12" s="134">
        <f>SUM(I13)</f>
        <v>7</v>
      </c>
      <c r="J12" s="139">
        <f>SUM(J13)</f>
        <v>0</v>
      </c>
    </row>
    <row r="13" spans="1:10" s="141" customFormat="1" ht="25.5">
      <c r="A13" s="144" t="s">
        <v>269</v>
      </c>
      <c r="B13" s="142" t="s">
        <v>270</v>
      </c>
      <c r="C13" s="139"/>
      <c r="D13" s="139"/>
      <c r="E13" s="140"/>
      <c r="F13" s="140"/>
      <c r="G13" s="135"/>
      <c r="H13" s="139"/>
      <c r="I13" s="139">
        <v>7</v>
      </c>
      <c r="J13" s="139"/>
    </row>
    <row r="14" spans="1:10" s="141" customFormat="1" ht="15" customHeight="1">
      <c r="A14" s="129" t="s">
        <v>271</v>
      </c>
      <c r="B14" s="131" t="s">
        <v>272</v>
      </c>
      <c r="C14" s="139"/>
      <c r="D14" s="139"/>
      <c r="E14" s="132">
        <f>E18</f>
        <v>0</v>
      </c>
      <c r="F14" s="132">
        <f>D14-E14</f>
        <v>0</v>
      </c>
      <c r="G14" s="135"/>
      <c r="H14" s="134">
        <f>SUM(H17:H18)</f>
        <v>0</v>
      </c>
      <c r="I14" s="132">
        <f>SUM(I15:I18)</f>
        <v>17586</v>
      </c>
      <c r="J14" s="132">
        <f>SUM(J16:J18)</f>
        <v>0</v>
      </c>
    </row>
    <row r="15" spans="1:10" s="141" customFormat="1" ht="18.75" customHeight="1">
      <c r="A15" s="145" t="s">
        <v>273</v>
      </c>
      <c r="B15" s="142" t="s">
        <v>274</v>
      </c>
      <c r="C15" s="139"/>
      <c r="D15" s="139"/>
      <c r="E15" s="132"/>
      <c r="F15" s="132"/>
      <c r="G15" s="135"/>
      <c r="H15" s="134"/>
      <c r="I15" s="140">
        <v>-71</v>
      </c>
      <c r="J15" s="132"/>
    </row>
    <row r="16" spans="1:10" s="141" customFormat="1" ht="18.75" customHeight="1">
      <c r="A16" s="145" t="s">
        <v>275</v>
      </c>
      <c r="B16" s="142" t="s">
        <v>276</v>
      </c>
      <c r="C16" s="139"/>
      <c r="D16" s="139"/>
      <c r="E16" s="140"/>
      <c r="F16" s="140"/>
      <c r="G16" s="135"/>
      <c r="H16" s="139"/>
      <c r="I16" s="140">
        <v>6685</v>
      </c>
      <c r="J16" s="140"/>
    </row>
    <row r="17" spans="1:10" s="141" customFormat="1" ht="18.75" customHeight="1">
      <c r="A17" s="145" t="s">
        <v>277</v>
      </c>
      <c r="B17" s="146" t="s">
        <v>278</v>
      </c>
      <c r="C17" s="147"/>
      <c r="D17" s="147"/>
      <c r="E17" s="148"/>
      <c r="F17" s="148"/>
      <c r="G17" s="149"/>
      <c r="H17" s="147"/>
      <c r="I17" s="147">
        <f>7391-2754</f>
        <v>4637</v>
      </c>
      <c r="J17" s="147"/>
    </row>
    <row r="18" spans="1:10" s="141" customFormat="1" ht="15">
      <c r="A18" s="137" t="s">
        <v>279</v>
      </c>
      <c r="B18" s="142" t="s">
        <v>280</v>
      </c>
      <c r="C18" s="139"/>
      <c r="D18" s="139"/>
      <c r="E18" s="140"/>
      <c r="F18" s="140">
        <f>D18-E18</f>
        <v>0</v>
      </c>
      <c r="G18" s="135"/>
      <c r="H18" s="139"/>
      <c r="I18" s="139">
        <v>6335</v>
      </c>
      <c r="J18" s="139"/>
    </row>
    <row r="19" spans="1:10" s="141" customFormat="1" ht="15.75">
      <c r="A19" s="129" t="s">
        <v>281</v>
      </c>
      <c r="B19" s="130" t="s">
        <v>282</v>
      </c>
      <c r="C19" s="139"/>
      <c r="D19" s="139"/>
      <c r="E19" s="132">
        <f>SUM(E20:E21)</f>
        <v>0</v>
      </c>
      <c r="F19" s="132">
        <f>D19-E19</f>
        <v>0</v>
      </c>
      <c r="G19" s="135"/>
      <c r="H19" s="134">
        <f>SUM(H20)</f>
        <v>0</v>
      </c>
      <c r="I19" s="134">
        <f>SUM(I20)</f>
        <v>-1103</v>
      </c>
      <c r="J19" s="134">
        <f>SUM(J20)</f>
        <v>0</v>
      </c>
    </row>
    <row r="20" spans="1:10" s="141" customFormat="1" ht="25.5">
      <c r="A20" s="150" t="s">
        <v>283</v>
      </c>
      <c r="B20" s="138" t="s">
        <v>284</v>
      </c>
      <c r="C20" s="139"/>
      <c r="D20" s="139"/>
      <c r="E20" s="140"/>
      <c r="F20" s="140"/>
      <c r="G20" s="135"/>
      <c r="H20" s="139"/>
      <c r="I20" s="139">
        <v>-1103</v>
      </c>
      <c r="J20" s="139"/>
    </row>
    <row r="21" spans="1:10" s="141" customFormat="1" ht="15.75">
      <c r="A21" s="151" t="s">
        <v>285</v>
      </c>
      <c r="B21" s="152" t="s">
        <v>286</v>
      </c>
      <c r="C21" s="139"/>
      <c r="D21" s="139"/>
      <c r="E21" s="140"/>
      <c r="F21" s="140">
        <f>D21-E21</f>
        <v>0</v>
      </c>
      <c r="G21" s="135"/>
      <c r="H21" s="134">
        <f>H22</f>
        <v>0</v>
      </c>
      <c r="I21" s="134">
        <f>I22</f>
        <v>3608</v>
      </c>
      <c r="J21" s="134">
        <f>J22</f>
        <v>0</v>
      </c>
    </row>
    <row r="22" spans="1:10" s="141" customFormat="1" ht="15">
      <c r="A22" s="153" t="s">
        <v>287</v>
      </c>
      <c r="B22" s="154" t="s">
        <v>288</v>
      </c>
      <c r="C22" s="139"/>
      <c r="D22" s="139"/>
      <c r="E22" s="140"/>
      <c r="F22" s="140"/>
      <c r="G22" s="135"/>
      <c r="H22" s="139"/>
      <c r="I22" s="139">
        <v>3608</v>
      </c>
      <c r="J22" s="139"/>
    </row>
    <row r="23" spans="1:10" s="158" customFormat="1" ht="30" customHeight="1">
      <c r="A23" s="155" t="s">
        <v>289</v>
      </c>
      <c r="B23" s="156"/>
      <c r="C23" s="157">
        <f>SUM(C7,C10,)</f>
        <v>0</v>
      </c>
      <c r="D23" s="157">
        <f>SUM(D7,D10,)</f>
        <v>0</v>
      </c>
      <c r="E23" s="132">
        <f>SUM(E7,E10,E19,E14)</f>
        <v>0</v>
      </c>
      <c r="F23" s="132">
        <f>SUM(F7,F10,F19,F14)</f>
        <v>0</v>
      </c>
      <c r="G23" s="133"/>
      <c r="H23" s="157">
        <f>SUM(H7,H10,H12,H14,H19,H21)</f>
        <v>0</v>
      </c>
      <c r="I23" s="157">
        <f>SUM(I7,I10,I12,I14,I19,I21)</f>
        <v>64350</v>
      </c>
      <c r="J23" s="157">
        <f>SUM(J7,J10,J12,J14,J19,J21)</f>
        <v>0</v>
      </c>
    </row>
    <row r="24" spans="1:10" s="158" customFormat="1" ht="24" customHeight="1">
      <c r="A24" s="355" t="s">
        <v>290</v>
      </c>
      <c r="B24" s="356"/>
      <c r="C24" s="159"/>
      <c r="D24" s="159"/>
      <c r="E24" s="140"/>
      <c r="F24" s="140"/>
      <c r="G24" s="133"/>
      <c r="H24" s="159"/>
      <c r="I24" s="159"/>
      <c r="J24" s="159"/>
    </row>
    <row r="25" spans="1:10" s="158" customFormat="1" ht="17.25" customHeight="1">
      <c r="A25" s="160" t="s">
        <v>291</v>
      </c>
      <c r="B25" s="131"/>
      <c r="C25" s="159"/>
      <c r="D25" s="159"/>
      <c r="E25" s="140"/>
      <c r="F25" s="140"/>
      <c r="G25" s="133"/>
      <c r="H25" s="159"/>
      <c r="I25" s="159"/>
      <c r="J25" s="159"/>
    </row>
    <row r="26" spans="1:10" s="158" customFormat="1" ht="33" customHeight="1">
      <c r="A26" s="161" t="s">
        <v>292</v>
      </c>
      <c r="B26" s="131" t="s">
        <v>293</v>
      </c>
      <c r="C26" s="134">
        <f>SUM(C27,C31:C32,C30)</f>
        <v>35207045</v>
      </c>
      <c r="D26" s="134">
        <f>SUM(D27,D31:D32,D30)</f>
        <v>38998141</v>
      </c>
      <c r="E26" s="134">
        <f>SUM(E27,E31:E32,E30)</f>
        <v>38998141</v>
      </c>
      <c r="F26" s="134">
        <f>SUM(F27,F31:F32,F30)</f>
        <v>0</v>
      </c>
      <c r="G26" s="133">
        <f>E26/D26%</f>
        <v>100</v>
      </c>
      <c r="H26" s="134">
        <f>SUM(H27,H31:H32,H30)</f>
        <v>43965469</v>
      </c>
      <c r="I26" s="134">
        <f>SUM(I27,I31:I32,I30)</f>
        <v>48596267</v>
      </c>
      <c r="J26" s="134">
        <f>SUM(J27,J31:J32,J30)</f>
        <v>50343805</v>
      </c>
    </row>
    <row r="27" spans="1:10" s="141" customFormat="1" ht="20.25" customHeight="1">
      <c r="A27" s="162" t="s">
        <v>294</v>
      </c>
      <c r="B27" s="142" t="s">
        <v>295</v>
      </c>
      <c r="C27" s="139">
        <f>SUM(C28:C29)</f>
        <v>35207045</v>
      </c>
      <c r="D27" s="139">
        <f>SUM(D28:D29)</f>
        <v>38220290</v>
      </c>
      <c r="E27" s="139">
        <f>SUM(E28:E29)</f>
        <v>38220290</v>
      </c>
      <c r="F27" s="139">
        <f>SUM(F28:F29)</f>
        <v>0</v>
      </c>
      <c r="G27" s="135">
        <f>E27/D27%</f>
        <v>100</v>
      </c>
      <c r="H27" s="139">
        <f>SUM(H28:H29)</f>
        <v>43965469</v>
      </c>
      <c r="I27" s="139">
        <f>SUM(I28:I29)</f>
        <v>46798607</v>
      </c>
      <c r="J27" s="139">
        <f>SUM(J28:J29)</f>
        <v>50343805</v>
      </c>
    </row>
    <row r="28" spans="1:10" s="141" customFormat="1" ht="29.25" customHeight="1">
      <c r="A28" s="163" t="s">
        <v>296</v>
      </c>
      <c r="B28" s="142" t="s">
        <v>297</v>
      </c>
      <c r="C28" s="164">
        <v>35207045</v>
      </c>
      <c r="D28" s="164">
        <f>35207045+124120+24026+468171+1300098+347036+159754+351231+238809</f>
        <v>38220290</v>
      </c>
      <c r="E28" s="164">
        <f>13494860+3056867+3157671+2694758+2838234+2835967+3159040+3625776+3357117</f>
        <v>38220290</v>
      </c>
      <c r="F28" s="164">
        <f>D28-E28</f>
        <v>0</v>
      </c>
      <c r="G28" s="135">
        <f>E28/D28%</f>
        <v>100</v>
      </c>
      <c r="H28" s="164">
        <v>43965469</v>
      </c>
      <c r="I28" s="164">
        <f>35207045+4656408+4102016+413822+481076+971145+622399+344696</f>
        <v>46798607</v>
      </c>
      <c r="J28" s="164">
        <v>50343805</v>
      </c>
    </row>
    <row r="29" spans="1:10" s="141" customFormat="1" ht="30.75">
      <c r="A29" s="162" t="s">
        <v>298</v>
      </c>
      <c r="B29" s="142" t="s">
        <v>299</v>
      </c>
      <c r="C29" s="164"/>
      <c r="D29" s="164"/>
      <c r="E29" s="164"/>
      <c r="F29" s="164">
        <f>D29-E29</f>
        <v>0</v>
      </c>
      <c r="G29" s="135"/>
      <c r="H29" s="164"/>
      <c r="I29" s="164"/>
      <c r="J29" s="164"/>
    </row>
    <row r="30" spans="1:10" s="141" customFormat="1" ht="27.75" customHeight="1">
      <c r="A30" s="165" t="s">
        <v>300</v>
      </c>
      <c r="B30" s="142" t="s">
        <v>301</v>
      </c>
      <c r="C30" s="164"/>
      <c r="D30" s="164">
        <f>25829+129161+363636+10703+30304</f>
        <v>559633</v>
      </c>
      <c r="E30" s="164">
        <f>563687-4054</f>
        <v>559633</v>
      </c>
      <c r="F30" s="164">
        <f>D30-E30</f>
        <v>0</v>
      </c>
      <c r="G30" s="135">
        <f t="shared" ref="G30:G36" si="0">E30/D30%</f>
        <v>100</v>
      </c>
      <c r="H30" s="164"/>
      <c r="I30" s="164">
        <f>3640+392930+904+17421+1015513+239182</f>
        <v>1669590</v>
      </c>
      <c r="J30" s="164"/>
    </row>
    <row r="31" spans="1:10" s="141" customFormat="1" ht="30.75" customHeight="1">
      <c r="A31" s="165" t="s">
        <v>302</v>
      </c>
      <c r="B31" s="142" t="s">
        <v>303</v>
      </c>
      <c r="C31" s="164"/>
      <c r="D31" s="164">
        <f>137313+87629+25126+83980+159306</f>
        <v>493354</v>
      </c>
      <c r="E31" s="164">
        <f>45864+60122+13442+6113+29449+1273+14967+10036+312088</f>
        <v>493354</v>
      </c>
      <c r="F31" s="164">
        <f>D31-E31</f>
        <v>0</v>
      </c>
      <c r="G31" s="135">
        <f t="shared" si="0"/>
        <v>100</v>
      </c>
      <c r="H31" s="164"/>
      <c r="I31" s="164">
        <f>368539+143372</f>
        <v>511911</v>
      </c>
      <c r="J31" s="164"/>
    </row>
    <row r="32" spans="1:10" s="141" customFormat="1" ht="16.5" customHeight="1">
      <c r="A32" s="166" t="s">
        <v>304</v>
      </c>
      <c r="B32" s="142" t="s">
        <v>305</v>
      </c>
      <c r="C32" s="164"/>
      <c r="D32" s="164">
        <f>-29906-245230</f>
        <v>-275136</v>
      </c>
      <c r="E32" s="164">
        <f>-29906-45698-199532</f>
        <v>-275136</v>
      </c>
      <c r="F32" s="164">
        <f>D32-E32</f>
        <v>0</v>
      </c>
      <c r="G32" s="135">
        <f t="shared" si="0"/>
        <v>100</v>
      </c>
      <c r="H32" s="164"/>
      <c r="I32" s="164">
        <f>-177209-927-9764-24034-171907</f>
        <v>-383841</v>
      </c>
      <c r="J32" s="164"/>
    </row>
    <row r="33" spans="1:10" s="158" customFormat="1" ht="23.25" customHeight="1">
      <c r="A33" s="167" t="s">
        <v>306</v>
      </c>
      <c r="B33" s="168" t="s">
        <v>307</v>
      </c>
      <c r="C33" s="159">
        <f>SUM(C34:C37)</f>
        <v>0</v>
      </c>
      <c r="D33" s="159">
        <f>SUM(D34:D37)</f>
        <v>5049170.01</v>
      </c>
      <c r="E33" s="159">
        <f>SUM(E34:E37)</f>
        <v>5049170</v>
      </c>
      <c r="F33" s="159">
        <f>SUM(F34:F37)</f>
        <v>9.9999997764825821E-3</v>
      </c>
      <c r="G33" s="135">
        <f t="shared" si="0"/>
        <v>99.999999801947652</v>
      </c>
      <c r="H33" s="159">
        <f>SUM(H34:H37)</f>
        <v>0</v>
      </c>
      <c r="I33" s="159">
        <f>SUM(I34:I37)</f>
        <v>6482474.7199999997</v>
      </c>
      <c r="J33" s="159">
        <f>SUM(J34:J37)</f>
        <v>0</v>
      </c>
    </row>
    <row r="34" spans="1:10" s="141" customFormat="1" ht="18" customHeight="1">
      <c r="A34" s="169" t="s">
        <v>308</v>
      </c>
      <c r="B34" s="146" t="s">
        <v>309</v>
      </c>
      <c r="C34" s="164"/>
      <c r="D34" s="164">
        <f>1387731+399054+399800+411571+419323+441396+427175+426891+661.01+438925</f>
        <v>4752527.01</v>
      </c>
      <c r="E34" s="164">
        <f>1387731+399054+399800+411571+434059+442057+427174+412156+480186-41261</f>
        <v>4752527</v>
      </c>
      <c r="F34" s="164">
        <f>D34-E34</f>
        <v>9.9999997764825821E-3</v>
      </c>
      <c r="G34" s="135">
        <f>E34/D34%</f>
        <v>99.999999789585644</v>
      </c>
      <c r="H34" s="164"/>
      <c r="I34" s="164">
        <f>17272.8+4520077.47+572238+565888+671582</f>
        <v>6347058.2699999996</v>
      </c>
      <c r="J34" s="164"/>
    </row>
    <row r="35" spans="1:10" s="141" customFormat="1" ht="15">
      <c r="A35" s="169" t="s">
        <v>310</v>
      </c>
      <c r="B35" s="146" t="s">
        <v>311</v>
      </c>
      <c r="C35" s="164"/>
      <c r="D35" s="164">
        <f>-3878-3266</f>
        <v>-7144</v>
      </c>
      <c r="E35" s="164">
        <f>-3878-3266</f>
        <v>-7144</v>
      </c>
      <c r="F35" s="164">
        <f>E35-D35</f>
        <v>0</v>
      </c>
      <c r="G35" s="135">
        <f>E35/D35%</f>
        <v>100</v>
      </c>
      <c r="H35" s="164"/>
      <c r="I35" s="164">
        <f>-11175-620</f>
        <v>-11795</v>
      </c>
      <c r="J35" s="164"/>
    </row>
    <row r="36" spans="1:10" s="141" customFormat="1" ht="30">
      <c r="A36" s="170" t="s">
        <v>312</v>
      </c>
      <c r="B36" s="146" t="s">
        <v>313</v>
      </c>
      <c r="C36" s="171"/>
      <c r="D36" s="171">
        <f>25094+8926+8792+29428+41090+38998+44875+45666+60918</f>
        <v>303787</v>
      </c>
      <c r="E36" s="171">
        <f>25094+8926+8792+29428+41090+38998+44875+45666+19657+41261</f>
        <v>303787</v>
      </c>
      <c r="F36" s="164">
        <f>D36-E36</f>
        <v>0</v>
      </c>
      <c r="G36" s="135">
        <f t="shared" si="0"/>
        <v>100</v>
      </c>
      <c r="H36" s="171"/>
      <c r="I36" s="171">
        <f>97373.45+8173+6773+34892</f>
        <v>147211.45000000001</v>
      </c>
      <c r="J36" s="171"/>
    </row>
    <row r="37" spans="1:10" s="141" customFormat="1" ht="26.25" customHeight="1">
      <c r="A37" s="162" t="s">
        <v>314</v>
      </c>
      <c r="B37" s="142" t="s">
        <v>315</v>
      </c>
      <c r="C37" s="164"/>
      <c r="D37" s="164"/>
      <c r="E37" s="164"/>
      <c r="F37" s="164">
        <f>E37-D37</f>
        <v>0</v>
      </c>
      <c r="G37" s="135"/>
      <c r="H37" s="164"/>
      <c r="I37" s="164"/>
      <c r="J37" s="164"/>
    </row>
    <row r="38" spans="1:10" s="158" customFormat="1" ht="31.5">
      <c r="A38" s="172" t="s">
        <v>316</v>
      </c>
      <c r="B38" s="173" t="s">
        <v>317</v>
      </c>
      <c r="C38" s="159">
        <f t="shared" ref="C38:I38" si="1">SUM(C39:C40)</f>
        <v>0</v>
      </c>
      <c r="D38" s="159">
        <f t="shared" si="1"/>
        <v>0</v>
      </c>
      <c r="E38" s="159">
        <f t="shared" si="1"/>
        <v>0</v>
      </c>
      <c r="F38" s="159">
        <f t="shared" si="1"/>
        <v>0</v>
      </c>
      <c r="G38" s="159">
        <f t="shared" si="1"/>
        <v>0</v>
      </c>
      <c r="H38" s="159">
        <f>SUM(H39:H40)</f>
        <v>0</v>
      </c>
      <c r="I38" s="159">
        <f t="shared" si="1"/>
        <v>-699</v>
      </c>
      <c r="J38" s="159">
        <f>SUM(J39:J40)</f>
        <v>0</v>
      </c>
    </row>
    <row r="39" spans="1:10" s="141" customFormat="1" ht="15">
      <c r="A39" s="166" t="s">
        <v>318</v>
      </c>
      <c r="B39" s="142" t="s">
        <v>319</v>
      </c>
      <c r="C39" s="164"/>
      <c r="D39" s="164"/>
      <c r="E39" s="164"/>
      <c r="F39" s="164">
        <f>D39-E39</f>
        <v>0</v>
      </c>
      <c r="G39" s="135"/>
      <c r="H39" s="164"/>
      <c r="I39" s="164">
        <v>-484</v>
      </c>
      <c r="J39" s="164"/>
    </row>
    <row r="40" spans="1:10" s="141" customFormat="1" ht="15">
      <c r="A40" s="166" t="s">
        <v>320</v>
      </c>
      <c r="B40" s="142" t="s">
        <v>321</v>
      </c>
      <c r="C40" s="164"/>
      <c r="D40" s="164"/>
      <c r="E40" s="164"/>
      <c r="F40" s="164">
        <f>D40-E40</f>
        <v>0</v>
      </c>
      <c r="G40" s="135"/>
      <c r="H40" s="164"/>
      <c r="I40" s="164">
        <v>-215</v>
      </c>
      <c r="J40" s="164"/>
    </row>
    <row r="41" spans="1:10" s="141" customFormat="1" ht="30" customHeight="1">
      <c r="A41" s="172" t="s">
        <v>322</v>
      </c>
      <c r="B41" s="131" t="s">
        <v>323</v>
      </c>
      <c r="C41" s="159"/>
      <c r="D41" s="159"/>
      <c r="E41" s="159"/>
      <c r="F41" s="164">
        <f>E41-D41</f>
        <v>0</v>
      </c>
      <c r="G41" s="135"/>
      <c r="H41" s="159">
        <f>H42</f>
        <v>0</v>
      </c>
      <c r="I41" s="159">
        <f>I42</f>
        <v>7485</v>
      </c>
      <c r="J41" s="159">
        <f>J42</f>
        <v>0</v>
      </c>
    </row>
    <row r="42" spans="1:10" s="141" customFormat="1" ht="15">
      <c r="A42" s="166" t="s">
        <v>324</v>
      </c>
      <c r="B42" s="142" t="s">
        <v>325</v>
      </c>
      <c r="C42" s="164"/>
      <c r="D42" s="164"/>
      <c r="E42" s="164"/>
      <c r="F42" s="164">
        <f>D42-E42</f>
        <v>0</v>
      </c>
      <c r="G42" s="135"/>
      <c r="H42" s="164"/>
      <c r="I42" s="164">
        <f>3742+3743</f>
        <v>7485</v>
      </c>
      <c r="J42" s="164"/>
    </row>
    <row r="43" spans="1:10" s="141" customFormat="1" ht="15.75">
      <c r="A43" s="155" t="s">
        <v>326</v>
      </c>
      <c r="B43" s="142"/>
      <c r="C43" s="159">
        <f>SUM(C26,C33,C38,C41)</f>
        <v>35207045</v>
      </c>
      <c r="D43" s="159">
        <f>SUM(D26,D33,D38,D41)</f>
        <v>44047311.009999998</v>
      </c>
      <c r="E43" s="159">
        <f>SUM(E26,E33,E38,E41)</f>
        <v>44047311</v>
      </c>
      <c r="F43" s="159">
        <f>D43-E43</f>
        <v>9.9999979138374329E-3</v>
      </c>
      <c r="G43" s="133">
        <f>E43/D43%</f>
        <v>99.999999977297136</v>
      </c>
      <c r="H43" s="159">
        <f>SUM(H26,H33,H38,H41)</f>
        <v>43965469</v>
      </c>
      <c r="I43" s="159">
        <f>SUM(I26,I33,I38,I41)</f>
        <v>55085527.719999999</v>
      </c>
      <c r="J43" s="159">
        <f>SUM(J26,J33,J38,J41)</f>
        <v>50343805</v>
      </c>
    </row>
    <row r="44" spans="1:10" s="158" customFormat="1" ht="15.75">
      <c r="A44" s="161" t="s">
        <v>327</v>
      </c>
      <c r="B44" s="174"/>
      <c r="C44" s="134">
        <f>SUM(C45)</f>
        <v>0</v>
      </c>
      <c r="D44" s="134">
        <f>SUM(D45)</f>
        <v>0</v>
      </c>
      <c r="E44" s="134">
        <f>SUM(E45)</f>
        <v>0</v>
      </c>
      <c r="F44" s="164">
        <f>E44-D44</f>
        <v>0</v>
      </c>
      <c r="G44" s="135"/>
      <c r="H44" s="134">
        <f>SUM(H45)</f>
        <v>0</v>
      </c>
      <c r="I44" s="134">
        <f>SUM(I45)</f>
        <v>0</v>
      </c>
      <c r="J44" s="134">
        <f>SUM(J45)</f>
        <v>0</v>
      </c>
    </row>
    <row r="45" spans="1:10" s="158" customFormat="1" ht="29.25" customHeight="1">
      <c r="A45" s="175" t="s">
        <v>328</v>
      </c>
      <c r="B45" s="174" t="s">
        <v>329</v>
      </c>
      <c r="C45" s="134"/>
      <c r="D45" s="134"/>
      <c r="E45" s="134"/>
      <c r="F45" s="164">
        <f>E45-D45</f>
        <v>0</v>
      </c>
      <c r="G45" s="135"/>
      <c r="H45" s="134"/>
      <c r="I45" s="134"/>
      <c r="J45" s="134"/>
    </row>
    <row r="46" spans="1:10" s="158" customFormat="1" ht="21" customHeight="1">
      <c r="A46" s="176" t="s">
        <v>330</v>
      </c>
      <c r="B46" s="174"/>
      <c r="C46" s="134">
        <f>SUM(C45)</f>
        <v>0</v>
      </c>
      <c r="D46" s="134">
        <f>SUM(D45)</f>
        <v>0</v>
      </c>
      <c r="E46" s="134">
        <f>SUM(E45)</f>
        <v>0</v>
      </c>
      <c r="F46" s="164">
        <f>D46-E46</f>
        <v>0</v>
      </c>
      <c r="G46" s="135"/>
      <c r="H46" s="134">
        <f>SUM(H45)</f>
        <v>0</v>
      </c>
      <c r="I46" s="134">
        <f>SUM(I45)</f>
        <v>0</v>
      </c>
      <c r="J46" s="134">
        <f>SUM(J45)</f>
        <v>0</v>
      </c>
    </row>
    <row r="47" spans="1:10" s="158" customFormat="1" ht="30">
      <c r="A47" s="176" t="s">
        <v>331</v>
      </c>
      <c r="B47" s="177"/>
      <c r="C47" s="157">
        <f>SUM(C43,C46)</f>
        <v>35207045</v>
      </c>
      <c r="D47" s="157">
        <f>SUM(D43,D46)</f>
        <v>44047311.009999998</v>
      </c>
      <c r="E47" s="157">
        <f>SUM(E43,E46)</f>
        <v>44047311</v>
      </c>
      <c r="F47" s="157">
        <f>SUM(F43,F46)</f>
        <v>9.9999979138374329E-3</v>
      </c>
      <c r="G47" s="135">
        <f>E47/D47%</f>
        <v>99.999999977297136</v>
      </c>
      <c r="H47" s="157">
        <f>SUM(H43,H46)</f>
        <v>43965469</v>
      </c>
      <c r="I47" s="157">
        <f>SUM(I43,I46)</f>
        <v>55085527.719999999</v>
      </c>
      <c r="J47" s="157">
        <f>SUM(J43,J46)</f>
        <v>50343805</v>
      </c>
    </row>
    <row r="48" spans="1:10" s="158" customFormat="1" ht="24.75" customHeight="1">
      <c r="A48" s="355" t="s">
        <v>332</v>
      </c>
      <c r="B48" s="356"/>
      <c r="C48" s="134"/>
      <c r="D48" s="134"/>
      <c r="E48" s="134"/>
      <c r="F48" s="164">
        <f>E48-D48</f>
        <v>0</v>
      </c>
      <c r="G48" s="135"/>
      <c r="H48" s="134"/>
      <c r="I48" s="134"/>
      <c r="J48" s="134"/>
    </row>
    <row r="49" spans="1:10" s="141" customFormat="1" ht="33" customHeight="1">
      <c r="A49" s="178" t="s">
        <v>333</v>
      </c>
      <c r="B49" s="130" t="s">
        <v>334</v>
      </c>
      <c r="C49" s="159">
        <f>C50</f>
        <v>-209870</v>
      </c>
      <c r="D49" s="159">
        <f>D50</f>
        <v>-209870</v>
      </c>
      <c r="E49" s="159">
        <f>E50</f>
        <v>-32563</v>
      </c>
      <c r="F49" s="159">
        <f>F50</f>
        <v>-177307</v>
      </c>
      <c r="G49" s="133">
        <f>E49/D49%</f>
        <v>15.515795492447706</v>
      </c>
      <c r="H49" s="159">
        <f>H50</f>
        <v>-177307</v>
      </c>
      <c r="I49" s="159">
        <f>SUM(I50:I50)</f>
        <v>-177307</v>
      </c>
      <c r="J49" s="159">
        <f>SUM(J50:J50)</f>
        <v>-154300</v>
      </c>
    </row>
    <row r="50" spans="1:10" s="141" customFormat="1" ht="28.5" customHeight="1">
      <c r="A50" s="165" t="s">
        <v>335</v>
      </c>
      <c r="B50" s="179" t="s">
        <v>336</v>
      </c>
      <c r="C50" s="164">
        <v>-209870</v>
      </c>
      <c r="D50" s="164">
        <v>-209870</v>
      </c>
      <c r="E50" s="164">
        <f>-51633-4572-5179+6128+6243+6881-5421-6865+21853+2</f>
        <v>-32563</v>
      </c>
      <c r="F50" s="164">
        <f>D50-E50</f>
        <v>-177307</v>
      </c>
      <c r="G50" s="135">
        <f>E50/D50%</f>
        <v>15.515795492447706</v>
      </c>
      <c r="H50" s="164">
        <v>-177307</v>
      </c>
      <c r="I50" s="164">
        <v>-177307</v>
      </c>
      <c r="J50" s="164">
        <v>-154300</v>
      </c>
    </row>
    <row r="51" spans="1:10" s="158" customFormat="1" ht="16.5" customHeight="1">
      <c r="A51" s="180" t="s">
        <v>337</v>
      </c>
      <c r="B51" s="131" t="s">
        <v>338</v>
      </c>
      <c r="C51" s="159">
        <v>0</v>
      </c>
      <c r="D51" s="159">
        <v>0</v>
      </c>
      <c r="E51" s="159">
        <v>0</v>
      </c>
      <c r="F51" s="164">
        <f>E51-D51</f>
        <v>0</v>
      </c>
      <c r="G51" s="135"/>
      <c r="H51" s="159">
        <f>SUM(H52:H53)</f>
        <v>0</v>
      </c>
      <c r="I51" s="159">
        <f>SUM(I52:I53)</f>
        <v>1631</v>
      </c>
      <c r="J51" s="159">
        <f>SUM(J52:J53)</f>
        <v>0</v>
      </c>
    </row>
    <row r="52" spans="1:10" s="158" customFormat="1" ht="14.25" customHeight="1">
      <c r="A52" s="181" t="s">
        <v>339</v>
      </c>
      <c r="B52" s="142" t="s">
        <v>340</v>
      </c>
      <c r="C52" s="159"/>
      <c r="D52" s="159"/>
      <c r="E52" s="159"/>
      <c r="F52" s="164"/>
      <c r="G52" s="135"/>
      <c r="H52" s="164"/>
      <c r="I52" s="164">
        <f>870+761</f>
        <v>1631</v>
      </c>
      <c r="J52" s="164"/>
    </row>
    <row r="53" spans="1:10" s="141" customFormat="1" ht="13.5" customHeight="1">
      <c r="A53" s="166" t="s">
        <v>341</v>
      </c>
      <c r="B53" s="142" t="s">
        <v>342</v>
      </c>
      <c r="C53" s="164"/>
      <c r="D53" s="164"/>
      <c r="E53" s="164"/>
      <c r="F53" s="164">
        <f>D53-E53</f>
        <v>0</v>
      </c>
      <c r="G53" s="135"/>
      <c r="H53" s="164"/>
      <c r="I53" s="164"/>
      <c r="J53" s="164"/>
    </row>
    <row r="54" spans="1:10" s="158" customFormat="1" ht="21.75" customHeight="1">
      <c r="A54" s="180" t="s">
        <v>343</v>
      </c>
      <c r="B54" s="131" t="s">
        <v>344</v>
      </c>
      <c r="C54" s="134">
        <f>+C55+C56+C57</f>
        <v>4004729</v>
      </c>
      <c r="D54" s="134">
        <f>+D55+D56+D57</f>
        <v>4004729</v>
      </c>
      <c r="E54" s="134">
        <f>+E55+E56+E57+E59</f>
        <v>-1144854</v>
      </c>
      <c r="F54" s="134">
        <f>+F55+F56+F57</f>
        <v>5149583</v>
      </c>
      <c r="G54" s="135"/>
      <c r="H54" s="134">
        <f>+H55+H56+H57</f>
        <v>5149583</v>
      </c>
      <c r="I54" s="134">
        <f>+I55+I56+I57</f>
        <v>5149583</v>
      </c>
      <c r="J54" s="134">
        <f>+J55+J56+J57</f>
        <v>6687196</v>
      </c>
    </row>
    <row r="55" spans="1:10" s="141" customFormat="1" ht="30">
      <c r="A55" s="162" t="s">
        <v>345</v>
      </c>
      <c r="B55" s="142" t="s">
        <v>346</v>
      </c>
      <c r="C55" s="164">
        <v>4004729</v>
      </c>
      <c r="D55" s="164">
        <v>4004729</v>
      </c>
      <c r="E55" s="164">
        <v>4004729</v>
      </c>
      <c r="F55" s="164">
        <f>D55-E55</f>
        <v>0</v>
      </c>
      <c r="G55" s="135">
        <f>E55/D55%</f>
        <v>100</v>
      </c>
      <c r="H55" s="164">
        <v>5149583</v>
      </c>
      <c r="I55" s="164">
        <v>5149583</v>
      </c>
      <c r="J55" s="164">
        <f>6683505+3691</f>
        <v>6687196</v>
      </c>
    </row>
    <row r="56" spans="1:10" s="141" customFormat="1" ht="30">
      <c r="A56" s="162" t="s">
        <v>347</v>
      </c>
      <c r="B56" s="142" t="s">
        <v>348</v>
      </c>
      <c r="C56" s="164"/>
      <c r="D56" s="164"/>
      <c r="E56" s="164"/>
      <c r="F56" s="164">
        <f>D56-E56</f>
        <v>0</v>
      </c>
      <c r="G56" s="135"/>
      <c r="H56" s="164"/>
      <c r="I56" s="164"/>
      <c r="J56" s="164"/>
    </row>
    <row r="57" spans="1:10" s="141" customFormat="1" ht="30">
      <c r="A57" s="182" t="s">
        <v>349</v>
      </c>
      <c r="B57" s="142" t="s">
        <v>350</v>
      </c>
      <c r="C57" s="164"/>
      <c r="D57" s="164"/>
      <c r="E57" s="164">
        <f>-8714100-88512+17652+1+306701-308537+282327+755104-166760+2612579+153962</f>
        <v>-5149583</v>
      </c>
      <c r="F57" s="164">
        <f>D57-E57</f>
        <v>5149583</v>
      </c>
      <c r="G57" s="135"/>
      <c r="H57" s="164"/>
      <c r="I57" s="164"/>
      <c r="J57" s="164"/>
    </row>
    <row r="58" spans="1:10" s="141" customFormat="1" ht="27" customHeight="1">
      <c r="A58" s="182" t="s">
        <v>351</v>
      </c>
      <c r="B58" s="142" t="s">
        <v>352</v>
      </c>
      <c r="C58" s="164"/>
      <c r="D58" s="164"/>
      <c r="E58" s="164"/>
      <c r="F58" s="164">
        <f>D58-E58</f>
        <v>0</v>
      </c>
      <c r="G58" s="135"/>
      <c r="H58" s="164"/>
      <c r="I58" s="164"/>
      <c r="J58" s="164"/>
    </row>
    <row r="59" spans="1:10" s="141" customFormat="1" ht="15" customHeight="1">
      <c r="A59" s="182" t="s">
        <v>353</v>
      </c>
      <c r="B59" s="142" t="s">
        <v>354</v>
      </c>
      <c r="C59" s="164"/>
      <c r="D59" s="164"/>
      <c r="E59" s="164"/>
      <c r="F59" s="164">
        <f>D59-E59</f>
        <v>0</v>
      </c>
      <c r="G59" s="135"/>
      <c r="H59" s="164"/>
      <c r="I59" s="164"/>
      <c r="J59" s="164"/>
    </row>
    <row r="60" spans="1:10" s="116" customFormat="1" ht="17.25" customHeight="1">
      <c r="A60" s="183" t="s">
        <v>355</v>
      </c>
      <c r="B60" s="184"/>
      <c r="C60" s="185">
        <f>SUM(C49,C51,C54)</f>
        <v>3794859</v>
      </c>
      <c r="D60" s="185">
        <f>SUM(D49,D51,D54)</f>
        <v>3794859</v>
      </c>
      <c r="E60" s="185">
        <f>SUM(E49,E51,E54)</f>
        <v>-1177417</v>
      </c>
      <c r="F60" s="185">
        <f>SUM(F49,F51,F54)</f>
        <v>4972276</v>
      </c>
      <c r="G60" s="135"/>
      <c r="H60" s="185">
        <f>SUM(H49,H51,H54)</f>
        <v>4972276</v>
      </c>
      <c r="I60" s="185">
        <f>SUM(I49,I51,I54)</f>
        <v>4973907</v>
      </c>
      <c r="J60" s="185">
        <f>SUM(J49,J51,J54)</f>
        <v>6532896</v>
      </c>
    </row>
    <row r="61" spans="1:10" s="116" customFormat="1" ht="14.25" customHeight="1">
      <c r="A61" s="186" t="s">
        <v>356</v>
      </c>
      <c r="B61" s="187"/>
      <c r="C61" s="186">
        <f>SUM(C23,C47,C60)</f>
        <v>39001904</v>
      </c>
      <c r="D61" s="186">
        <f>SUM(D23,D47,D60)</f>
        <v>47842170.009999998</v>
      </c>
      <c r="E61" s="186">
        <f>SUM(E23,E47,E60)</f>
        <v>42869894</v>
      </c>
      <c r="F61" s="186">
        <f>SUM(F23,F47,F60)</f>
        <v>4972276.0099999979</v>
      </c>
      <c r="G61" s="133">
        <f>E61/D61%</f>
        <v>89.606917894901741</v>
      </c>
      <c r="H61" s="186">
        <f>SUM(H23,H47,H60)</f>
        <v>48937745</v>
      </c>
      <c r="I61" s="186">
        <f>SUM(I23,I47,I60)</f>
        <v>60123784.719999999</v>
      </c>
      <c r="J61" s="186">
        <f>SUM(J23,J47,J60)</f>
        <v>56876701</v>
      </c>
    </row>
    <row r="62" spans="1:10" s="191" customFormat="1" ht="15.75" hidden="1">
      <c r="A62" s="188" t="s">
        <v>357</v>
      </c>
      <c r="B62" s="189"/>
      <c r="C62" s="190">
        <f>SUM(C23,C47,C55:C56)</f>
        <v>39211774</v>
      </c>
      <c r="D62" s="190">
        <f>SUM(D23,D47,D55:D56)</f>
        <v>48052040.009999998</v>
      </c>
      <c r="E62" s="190">
        <f>SUM(E23,E47,E55:E56)</f>
        <v>48052040</v>
      </c>
      <c r="F62" s="190">
        <f>SUM(F23,F47,F55:F56)</f>
        <v>9.9999979138374329E-3</v>
      </c>
      <c r="G62" s="135">
        <f>E62/D62%</f>
        <v>99.999999979189241</v>
      </c>
      <c r="H62" s="190">
        <f>SUM(H23,H47,H55:H56)</f>
        <v>49115052</v>
      </c>
      <c r="I62" s="190">
        <f>SUM(I23,I47,I55:I56)</f>
        <v>60299460.719999999</v>
      </c>
      <c r="J62" s="190">
        <f>SUM(J23,J47,J55:J56)</f>
        <v>57031001</v>
      </c>
    </row>
    <row r="63" spans="1:10" s="191" customFormat="1">
      <c r="A63" s="192"/>
      <c r="B63" s="193"/>
      <c r="C63" s="194"/>
      <c r="D63" s="194"/>
      <c r="E63" s="194"/>
      <c r="F63" s="194"/>
      <c r="G63" s="194"/>
      <c r="H63" s="194"/>
      <c r="I63" s="194"/>
      <c r="J63" s="194"/>
    </row>
    <row r="64" spans="1:10" s="191" customFormat="1">
      <c r="A64" s="192"/>
      <c r="B64" s="193"/>
      <c r="C64" s="194"/>
      <c r="D64" s="194"/>
      <c r="E64" s="194"/>
      <c r="F64" s="194"/>
      <c r="G64" s="194"/>
      <c r="H64" s="194"/>
      <c r="I64" s="194"/>
      <c r="J64" s="194"/>
    </row>
    <row r="65" spans="1:10" s="191" customFormat="1">
      <c r="A65" s="192"/>
      <c r="B65" s="193"/>
      <c r="C65" s="194"/>
      <c r="D65" s="194"/>
      <c r="E65" s="194"/>
      <c r="F65" s="194"/>
      <c r="G65" s="194"/>
      <c r="H65" s="194"/>
      <c r="I65" s="194"/>
      <c r="J65" s="194"/>
    </row>
    <row r="66" spans="1:10" s="191" customFormat="1">
      <c r="A66" s="192"/>
      <c r="B66" s="193"/>
      <c r="C66" s="194"/>
      <c r="D66" s="194"/>
      <c r="E66" s="194"/>
      <c r="F66" s="194"/>
      <c r="G66" s="194"/>
      <c r="H66" s="194"/>
      <c r="I66" s="194"/>
      <c r="J66" s="194"/>
    </row>
    <row r="67" spans="1:10" s="191" customFormat="1">
      <c r="A67" s="192"/>
      <c r="B67" s="193"/>
      <c r="C67" s="194"/>
      <c r="D67" s="194"/>
      <c r="E67" s="194"/>
      <c r="F67" s="194"/>
      <c r="G67" s="194"/>
      <c r="H67" s="194"/>
      <c r="I67" s="194"/>
      <c r="J67" s="194"/>
    </row>
    <row r="68" spans="1:10" s="191" customFormat="1">
      <c r="A68" s="192"/>
      <c r="B68" s="193"/>
      <c r="C68" s="194"/>
      <c r="D68" s="194"/>
      <c r="E68" s="194"/>
      <c r="F68" s="194"/>
      <c r="G68" s="194"/>
      <c r="H68" s="194"/>
      <c r="I68" s="194"/>
      <c r="J68" s="194"/>
    </row>
    <row r="69" spans="1:10" s="191" customFormat="1">
      <c r="A69" s="192"/>
      <c r="B69" s="193"/>
      <c r="C69" s="194"/>
      <c r="D69" s="194"/>
      <c r="E69" s="194"/>
      <c r="F69" s="194"/>
      <c r="G69" s="194"/>
      <c r="H69" s="194"/>
      <c r="I69" s="194"/>
      <c r="J69" s="194"/>
    </row>
    <row r="70" spans="1:10" s="191" customFormat="1">
      <c r="A70" s="192"/>
      <c r="B70" s="193"/>
      <c r="C70" s="194"/>
      <c r="D70" s="194"/>
      <c r="E70" s="194"/>
      <c r="F70" s="194"/>
      <c r="G70" s="194"/>
      <c r="H70" s="194"/>
      <c r="I70" s="194"/>
      <c r="J70" s="194"/>
    </row>
    <row r="71" spans="1:10" s="191" customFormat="1">
      <c r="A71" s="192"/>
      <c r="B71" s="193"/>
      <c r="C71" s="194"/>
      <c r="D71" s="194"/>
      <c r="E71" s="194"/>
      <c r="F71" s="194"/>
      <c r="G71" s="194"/>
      <c r="H71" s="194"/>
      <c r="I71" s="194"/>
      <c r="J71" s="194"/>
    </row>
  </sheetData>
  <mergeCells count="3">
    <mergeCell ref="A6:B6"/>
    <mergeCell ref="A24:B24"/>
    <mergeCell ref="A48:B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showZeros="0" workbookViewId="0">
      <selection activeCell="I5" sqref="I5"/>
    </sheetView>
  </sheetViews>
  <sheetFormatPr defaultRowHeight="14.25"/>
  <cols>
    <col min="1" max="1" width="50.7109375" style="195" customWidth="1"/>
    <col min="2" max="2" width="6.7109375" style="196" customWidth="1"/>
    <col min="3" max="4" width="12.5703125" style="205" hidden="1" customWidth="1"/>
    <col min="5" max="5" width="13" style="205" hidden="1" customWidth="1"/>
    <col min="6" max="6" width="12.42578125" style="205" hidden="1" customWidth="1"/>
    <col min="7" max="7" width="11" style="205" hidden="1" customWidth="1"/>
    <col min="8" max="10" width="15.85546875" style="205" customWidth="1"/>
    <col min="11" max="11" width="13.85546875" style="205" customWidth="1"/>
    <col min="12" max="12" width="16" style="205" customWidth="1"/>
    <col min="13" max="252" width="9.140625" style="205"/>
    <col min="253" max="253" width="50.7109375" style="205" customWidth="1"/>
    <col min="254" max="254" width="6.7109375" style="205" customWidth="1"/>
    <col min="255" max="259" width="0" style="205" hidden="1" customWidth="1"/>
    <col min="260" max="261" width="15.85546875" style="205" customWidth="1"/>
    <col min="262" max="262" width="13" style="205" customWidth="1"/>
    <col min="263" max="263" width="13.7109375" style="205" customWidth="1"/>
    <col min="264" max="264" width="11" style="205" customWidth="1"/>
    <col min="265" max="265" width="15.85546875" style="205" customWidth="1"/>
    <col min="266" max="266" width="11.85546875" style="205" customWidth="1"/>
    <col min="267" max="508" width="9.140625" style="205"/>
    <col min="509" max="509" width="50.7109375" style="205" customWidth="1"/>
    <col min="510" max="510" width="6.7109375" style="205" customWidth="1"/>
    <col min="511" max="515" width="0" style="205" hidden="1" customWidth="1"/>
    <col min="516" max="517" width="15.85546875" style="205" customWidth="1"/>
    <col min="518" max="518" width="13" style="205" customWidth="1"/>
    <col min="519" max="519" width="13.7109375" style="205" customWidth="1"/>
    <col min="520" max="520" width="11" style="205" customWidth="1"/>
    <col min="521" max="521" width="15.85546875" style="205" customWidth="1"/>
    <col min="522" max="522" width="11.85546875" style="205" customWidth="1"/>
    <col min="523" max="764" width="9.140625" style="205"/>
    <col min="765" max="765" width="50.7109375" style="205" customWidth="1"/>
    <col min="766" max="766" width="6.7109375" style="205" customWidth="1"/>
    <col min="767" max="771" width="0" style="205" hidden="1" customWidth="1"/>
    <col min="772" max="773" width="15.85546875" style="205" customWidth="1"/>
    <col min="774" max="774" width="13" style="205" customWidth="1"/>
    <col min="775" max="775" width="13.7109375" style="205" customWidth="1"/>
    <col min="776" max="776" width="11" style="205" customWidth="1"/>
    <col min="777" max="777" width="15.85546875" style="205" customWidth="1"/>
    <col min="778" max="778" width="11.85546875" style="205" customWidth="1"/>
    <col min="779" max="1020" width="9.140625" style="205"/>
    <col min="1021" max="1021" width="50.7109375" style="205" customWidth="1"/>
    <col min="1022" max="1022" width="6.7109375" style="205" customWidth="1"/>
    <col min="1023" max="1027" width="0" style="205" hidden="1" customWidth="1"/>
    <col min="1028" max="1029" width="15.85546875" style="205" customWidth="1"/>
    <col min="1030" max="1030" width="13" style="205" customWidth="1"/>
    <col min="1031" max="1031" width="13.7109375" style="205" customWidth="1"/>
    <col min="1032" max="1032" width="11" style="205" customWidth="1"/>
    <col min="1033" max="1033" width="15.85546875" style="205" customWidth="1"/>
    <col min="1034" max="1034" width="11.85546875" style="205" customWidth="1"/>
    <col min="1035" max="1276" width="9.140625" style="205"/>
    <col min="1277" max="1277" width="50.7109375" style="205" customWidth="1"/>
    <col min="1278" max="1278" width="6.7109375" style="205" customWidth="1"/>
    <col min="1279" max="1283" width="0" style="205" hidden="1" customWidth="1"/>
    <col min="1284" max="1285" width="15.85546875" style="205" customWidth="1"/>
    <col min="1286" max="1286" width="13" style="205" customWidth="1"/>
    <col min="1287" max="1287" width="13.7109375" style="205" customWidth="1"/>
    <col min="1288" max="1288" width="11" style="205" customWidth="1"/>
    <col min="1289" max="1289" width="15.85546875" style="205" customWidth="1"/>
    <col min="1290" max="1290" width="11.85546875" style="205" customWidth="1"/>
    <col min="1291" max="1532" width="9.140625" style="205"/>
    <col min="1533" max="1533" width="50.7109375" style="205" customWidth="1"/>
    <col min="1534" max="1534" width="6.7109375" style="205" customWidth="1"/>
    <col min="1535" max="1539" width="0" style="205" hidden="1" customWidth="1"/>
    <col min="1540" max="1541" width="15.85546875" style="205" customWidth="1"/>
    <col min="1542" max="1542" width="13" style="205" customWidth="1"/>
    <col min="1543" max="1543" width="13.7109375" style="205" customWidth="1"/>
    <col min="1544" max="1544" width="11" style="205" customWidth="1"/>
    <col min="1545" max="1545" width="15.85546875" style="205" customWidth="1"/>
    <col min="1546" max="1546" width="11.85546875" style="205" customWidth="1"/>
    <col min="1547" max="1788" width="9.140625" style="205"/>
    <col min="1789" max="1789" width="50.7109375" style="205" customWidth="1"/>
    <col min="1790" max="1790" width="6.7109375" style="205" customWidth="1"/>
    <col min="1791" max="1795" width="0" style="205" hidden="1" customWidth="1"/>
    <col min="1796" max="1797" width="15.85546875" style="205" customWidth="1"/>
    <col min="1798" max="1798" width="13" style="205" customWidth="1"/>
    <col min="1799" max="1799" width="13.7109375" style="205" customWidth="1"/>
    <col min="1800" max="1800" width="11" style="205" customWidth="1"/>
    <col min="1801" max="1801" width="15.85546875" style="205" customWidth="1"/>
    <col min="1802" max="1802" width="11.85546875" style="205" customWidth="1"/>
    <col min="1803" max="2044" width="9.140625" style="205"/>
    <col min="2045" max="2045" width="50.7109375" style="205" customWidth="1"/>
    <col min="2046" max="2046" width="6.7109375" style="205" customWidth="1"/>
    <col min="2047" max="2051" width="0" style="205" hidden="1" customWidth="1"/>
    <col min="2052" max="2053" width="15.85546875" style="205" customWidth="1"/>
    <col min="2054" max="2054" width="13" style="205" customWidth="1"/>
    <col min="2055" max="2055" width="13.7109375" style="205" customWidth="1"/>
    <col min="2056" max="2056" width="11" style="205" customWidth="1"/>
    <col min="2057" max="2057" width="15.85546875" style="205" customWidth="1"/>
    <col min="2058" max="2058" width="11.85546875" style="205" customWidth="1"/>
    <col min="2059" max="2300" width="9.140625" style="205"/>
    <col min="2301" max="2301" width="50.7109375" style="205" customWidth="1"/>
    <col min="2302" max="2302" width="6.7109375" style="205" customWidth="1"/>
    <col min="2303" max="2307" width="0" style="205" hidden="1" customWidth="1"/>
    <col min="2308" max="2309" width="15.85546875" style="205" customWidth="1"/>
    <col min="2310" max="2310" width="13" style="205" customWidth="1"/>
    <col min="2311" max="2311" width="13.7109375" style="205" customWidth="1"/>
    <col min="2312" max="2312" width="11" style="205" customWidth="1"/>
    <col min="2313" max="2313" width="15.85546875" style="205" customWidth="1"/>
    <col min="2314" max="2314" width="11.85546875" style="205" customWidth="1"/>
    <col min="2315" max="2556" width="9.140625" style="205"/>
    <col min="2557" max="2557" width="50.7109375" style="205" customWidth="1"/>
    <col min="2558" max="2558" width="6.7109375" style="205" customWidth="1"/>
    <col min="2559" max="2563" width="0" style="205" hidden="1" customWidth="1"/>
    <col min="2564" max="2565" width="15.85546875" style="205" customWidth="1"/>
    <col min="2566" max="2566" width="13" style="205" customWidth="1"/>
    <col min="2567" max="2567" width="13.7109375" style="205" customWidth="1"/>
    <col min="2568" max="2568" width="11" style="205" customWidth="1"/>
    <col min="2569" max="2569" width="15.85546875" style="205" customWidth="1"/>
    <col min="2570" max="2570" width="11.85546875" style="205" customWidth="1"/>
    <col min="2571" max="2812" width="9.140625" style="205"/>
    <col min="2813" max="2813" width="50.7109375" style="205" customWidth="1"/>
    <col min="2814" max="2814" width="6.7109375" style="205" customWidth="1"/>
    <col min="2815" max="2819" width="0" style="205" hidden="1" customWidth="1"/>
    <col min="2820" max="2821" width="15.85546875" style="205" customWidth="1"/>
    <col min="2822" max="2822" width="13" style="205" customWidth="1"/>
    <col min="2823" max="2823" width="13.7109375" style="205" customWidth="1"/>
    <col min="2824" max="2824" width="11" style="205" customWidth="1"/>
    <col min="2825" max="2825" width="15.85546875" style="205" customWidth="1"/>
    <col min="2826" max="2826" width="11.85546875" style="205" customWidth="1"/>
    <col min="2827" max="3068" width="9.140625" style="205"/>
    <col min="3069" max="3069" width="50.7109375" style="205" customWidth="1"/>
    <col min="3070" max="3070" width="6.7109375" style="205" customWidth="1"/>
    <col min="3071" max="3075" width="0" style="205" hidden="1" customWidth="1"/>
    <col min="3076" max="3077" width="15.85546875" style="205" customWidth="1"/>
    <col min="3078" max="3078" width="13" style="205" customWidth="1"/>
    <col min="3079" max="3079" width="13.7109375" style="205" customWidth="1"/>
    <col min="3080" max="3080" width="11" style="205" customWidth="1"/>
    <col min="3081" max="3081" width="15.85546875" style="205" customWidth="1"/>
    <col min="3082" max="3082" width="11.85546875" style="205" customWidth="1"/>
    <col min="3083" max="3324" width="9.140625" style="205"/>
    <col min="3325" max="3325" width="50.7109375" style="205" customWidth="1"/>
    <col min="3326" max="3326" width="6.7109375" style="205" customWidth="1"/>
    <col min="3327" max="3331" width="0" style="205" hidden="1" customWidth="1"/>
    <col min="3332" max="3333" width="15.85546875" style="205" customWidth="1"/>
    <col min="3334" max="3334" width="13" style="205" customWidth="1"/>
    <col min="3335" max="3335" width="13.7109375" style="205" customWidth="1"/>
    <col min="3336" max="3336" width="11" style="205" customWidth="1"/>
    <col min="3337" max="3337" width="15.85546875" style="205" customWidth="1"/>
    <col min="3338" max="3338" width="11.85546875" style="205" customWidth="1"/>
    <col min="3339" max="3580" width="9.140625" style="205"/>
    <col min="3581" max="3581" width="50.7109375" style="205" customWidth="1"/>
    <col min="3582" max="3582" width="6.7109375" style="205" customWidth="1"/>
    <col min="3583" max="3587" width="0" style="205" hidden="1" customWidth="1"/>
    <col min="3588" max="3589" width="15.85546875" style="205" customWidth="1"/>
    <col min="3590" max="3590" width="13" style="205" customWidth="1"/>
    <col min="3591" max="3591" width="13.7109375" style="205" customWidth="1"/>
    <col min="3592" max="3592" width="11" style="205" customWidth="1"/>
    <col min="3593" max="3593" width="15.85546875" style="205" customWidth="1"/>
    <col min="3594" max="3594" width="11.85546875" style="205" customWidth="1"/>
    <col min="3595" max="3836" width="9.140625" style="205"/>
    <col min="3837" max="3837" width="50.7109375" style="205" customWidth="1"/>
    <col min="3838" max="3838" width="6.7109375" style="205" customWidth="1"/>
    <col min="3839" max="3843" width="0" style="205" hidden="1" customWidth="1"/>
    <col min="3844" max="3845" width="15.85546875" style="205" customWidth="1"/>
    <col min="3846" max="3846" width="13" style="205" customWidth="1"/>
    <col min="3847" max="3847" width="13.7109375" style="205" customWidth="1"/>
    <col min="3848" max="3848" width="11" style="205" customWidth="1"/>
    <col min="3849" max="3849" width="15.85546875" style="205" customWidth="1"/>
    <col min="3850" max="3850" width="11.85546875" style="205" customWidth="1"/>
    <col min="3851" max="4092" width="9.140625" style="205"/>
    <col min="4093" max="4093" width="50.7109375" style="205" customWidth="1"/>
    <col min="4094" max="4094" width="6.7109375" style="205" customWidth="1"/>
    <col min="4095" max="4099" width="0" style="205" hidden="1" customWidth="1"/>
    <col min="4100" max="4101" width="15.85546875" style="205" customWidth="1"/>
    <col min="4102" max="4102" width="13" style="205" customWidth="1"/>
    <col min="4103" max="4103" width="13.7109375" style="205" customWidth="1"/>
    <col min="4104" max="4104" width="11" style="205" customWidth="1"/>
    <col min="4105" max="4105" width="15.85546875" style="205" customWidth="1"/>
    <col min="4106" max="4106" width="11.85546875" style="205" customWidth="1"/>
    <col min="4107" max="4348" width="9.140625" style="205"/>
    <col min="4349" max="4349" width="50.7109375" style="205" customWidth="1"/>
    <col min="4350" max="4350" width="6.7109375" style="205" customWidth="1"/>
    <col min="4351" max="4355" width="0" style="205" hidden="1" customWidth="1"/>
    <col min="4356" max="4357" width="15.85546875" style="205" customWidth="1"/>
    <col min="4358" max="4358" width="13" style="205" customWidth="1"/>
    <col min="4359" max="4359" width="13.7109375" style="205" customWidth="1"/>
    <col min="4360" max="4360" width="11" style="205" customWidth="1"/>
    <col min="4361" max="4361" width="15.85546875" style="205" customWidth="1"/>
    <col min="4362" max="4362" width="11.85546875" style="205" customWidth="1"/>
    <col min="4363" max="4604" width="9.140625" style="205"/>
    <col min="4605" max="4605" width="50.7109375" style="205" customWidth="1"/>
    <col min="4606" max="4606" width="6.7109375" style="205" customWidth="1"/>
    <col min="4607" max="4611" width="0" style="205" hidden="1" customWidth="1"/>
    <col min="4612" max="4613" width="15.85546875" style="205" customWidth="1"/>
    <col min="4614" max="4614" width="13" style="205" customWidth="1"/>
    <col min="4615" max="4615" width="13.7109375" style="205" customWidth="1"/>
    <col min="4616" max="4616" width="11" style="205" customWidth="1"/>
    <col min="4617" max="4617" width="15.85546875" style="205" customWidth="1"/>
    <col min="4618" max="4618" width="11.85546875" style="205" customWidth="1"/>
    <col min="4619" max="4860" width="9.140625" style="205"/>
    <col min="4861" max="4861" width="50.7109375" style="205" customWidth="1"/>
    <col min="4862" max="4862" width="6.7109375" style="205" customWidth="1"/>
    <col min="4863" max="4867" width="0" style="205" hidden="1" customWidth="1"/>
    <col min="4868" max="4869" width="15.85546875" style="205" customWidth="1"/>
    <col min="4870" max="4870" width="13" style="205" customWidth="1"/>
    <col min="4871" max="4871" width="13.7109375" style="205" customWidth="1"/>
    <col min="4872" max="4872" width="11" style="205" customWidth="1"/>
    <col min="4873" max="4873" width="15.85546875" style="205" customWidth="1"/>
    <col min="4874" max="4874" width="11.85546875" style="205" customWidth="1"/>
    <col min="4875" max="5116" width="9.140625" style="205"/>
    <col min="5117" max="5117" width="50.7109375" style="205" customWidth="1"/>
    <col min="5118" max="5118" width="6.7109375" style="205" customWidth="1"/>
    <col min="5119" max="5123" width="0" style="205" hidden="1" customWidth="1"/>
    <col min="5124" max="5125" width="15.85546875" style="205" customWidth="1"/>
    <col min="5126" max="5126" width="13" style="205" customWidth="1"/>
    <col min="5127" max="5127" width="13.7109375" style="205" customWidth="1"/>
    <col min="5128" max="5128" width="11" style="205" customWidth="1"/>
    <col min="5129" max="5129" width="15.85546875" style="205" customWidth="1"/>
    <col min="5130" max="5130" width="11.85546875" style="205" customWidth="1"/>
    <col min="5131" max="5372" width="9.140625" style="205"/>
    <col min="5373" max="5373" width="50.7109375" style="205" customWidth="1"/>
    <col min="5374" max="5374" width="6.7109375" style="205" customWidth="1"/>
    <col min="5375" max="5379" width="0" style="205" hidden="1" customWidth="1"/>
    <col min="5380" max="5381" width="15.85546875" style="205" customWidth="1"/>
    <col min="5382" max="5382" width="13" style="205" customWidth="1"/>
    <col min="5383" max="5383" width="13.7109375" style="205" customWidth="1"/>
    <col min="5384" max="5384" width="11" style="205" customWidth="1"/>
    <col min="5385" max="5385" width="15.85546875" style="205" customWidth="1"/>
    <col min="5386" max="5386" width="11.85546875" style="205" customWidth="1"/>
    <col min="5387" max="5628" width="9.140625" style="205"/>
    <col min="5629" max="5629" width="50.7109375" style="205" customWidth="1"/>
    <col min="5630" max="5630" width="6.7109375" style="205" customWidth="1"/>
    <col min="5631" max="5635" width="0" style="205" hidden="1" customWidth="1"/>
    <col min="5636" max="5637" width="15.85546875" style="205" customWidth="1"/>
    <col min="5638" max="5638" width="13" style="205" customWidth="1"/>
    <col min="5639" max="5639" width="13.7109375" style="205" customWidth="1"/>
    <col min="5640" max="5640" width="11" style="205" customWidth="1"/>
    <col min="5641" max="5641" width="15.85546875" style="205" customWidth="1"/>
    <col min="5642" max="5642" width="11.85546875" style="205" customWidth="1"/>
    <col min="5643" max="5884" width="9.140625" style="205"/>
    <col min="5885" max="5885" width="50.7109375" style="205" customWidth="1"/>
    <col min="5886" max="5886" width="6.7109375" style="205" customWidth="1"/>
    <col min="5887" max="5891" width="0" style="205" hidden="1" customWidth="1"/>
    <col min="5892" max="5893" width="15.85546875" style="205" customWidth="1"/>
    <col min="5894" max="5894" width="13" style="205" customWidth="1"/>
    <col min="5895" max="5895" width="13.7109375" style="205" customWidth="1"/>
    <col min="5896" max="5896" width="11" style="205" customWidth="1"/>
    <col min="5897" max="5897" width="15.85546875" style="205" customWidth="1"/>
    <col min="5898" max="5898" width="11.85546875" style="205" customWidth="1"/>
    <col min="5899" max="6140" width="9.140625" style="205"/>
    <col min="6141" max="6141" width="50.7109375" style="205" customWidth="1"/>
    <col min="6142" max="6142" width="6.7109375" style="205" customWidth="1"/>
    <col min="6143" max="6147" width="0" style="205" hidden="1" customWidth="1"/>
    <col min="6148" max="6149" width="15.85546875" style="205" customWidth="1"/>
    <col min="6150" max="6150" width="13" style="205" customWidth="1"/>
    <col min="6151" max="6151" width="13.7109375" style="205" customWidth="1"/>
    <col min="6152" max="6152" width="11" style="205" customWidth="1"/>
    <col min="6153" max="6153" width="15.85546875" style="205" customWidth="1"/>
    <col min="6154" max="6154" width="11.85546875" style="205" customWidth="1"/>
    <col min="6155" max="6396" width="9.140625" style="205"/>
    <col min="6397" max="6397" width="50.7109375" style="205" customWidth="1"/>
    <col min="6398" max="6398" width="6.7109375" style="205" customWidth="1"/>
    <col min="6399" max="6403" width="0" style="205" hidden="1" customWidth="1"/>
    <col min="6404" max="6405" width="15.85546875" style="205" customWidth="1"/>
    <col min="6406" max="6406" width="13" style="205" customWidth="1"/>
    <col min="6407" max="6407" width="13.7109375" style="205" customWidth="1"/>
    <col min="6408" max="6408" width="11" style="205" customWidth="1"/>
    <col min="6409" max="6409" width="15.85546875" style="205" customWidth="1"/>
    <col min="6410" max="6410" width="11.85546875" style="205" customWidth="1"/>
    <col min="6411" max="6652" width="9.140625" style="205"/>
    <col min="6653" max="6653" width="50.7109375" style="205" customWidth="1"/>
    <col min="6654" max="6654" width="6.7109375" style="205" customWidth="1"/>
    <col min="6655" max="6659" width="0" style="205" hidden="1" customWidth="1"/>
    <col min="6660" max="6661" width="15.85546875" style="205" customWidth="1"/>
    <col min="6662" max="6662" width="13" style="205" customWidth="1"/>
    <col min="6663" max="6663" width="13.7109375" style="205" customWidth="1"/>
    <col min="6664" max="6664" width="11" style="205" customWidth="1"/>
    <col min="6665" max="6665" width="15.85546875" style="205" customWidth="1"/>
    <col min="6666" max="6666" width="11.85546875" style="205" customWidth="1"/>
    <col min="6667" max="6908" width="9.140625" style="205"/>
    <col min="6909" max="6909" width="50.7109375" style="205" customWidth="1"/>
    <col min="6910" max="6910" width="6.7109375" style="205" customWidth="1"/>
    <col min="6911" max="6915" width="0" style="205" hidden="1" customWidth="1"/>
    <col min="6916" max="6917" width="15.85546875" style="205" customWidth="1"/>
    <col min="6918" max="6918" width="13" style="205" customWidth="1"/>
    <col min="6919" max="6919" width="13.7109375" style="205" customWidth="1"/>
    <col min="6920" max="6920" width="11" style="205" customWidth="1"/>
    <col min="6921" max="6921" width="15.85546875" style="205" customWidth="1"/>
    <col min="6922" max="6922" width="11.85546875" style="205" customWidth="1"/>
    <col min="6923" max="7164" width="9.140625" style="205"/>
    <col min="7165" max="7165" width="50.7109375" style="205" customWidth="1"/>
    <col min="7166" max="7166" width="6.7109375" style="205" customWidth="1"/>
    <col min="7167" max="7171" width="0" style="205" hidden="1" customWidth="1"/>
    <col min="7172" max="7173" width="15.85546875" style="205" customWidth="1"/>
    <col min="7174" max="7174" width="13" style="205" customWidth="1"/>
    <col min="7175" max="7175" width="13.7109375" style="205" customWidth="1"/>
    <col min="7176" max="7176" width="11" style="205" customWidth="1"/>
    <col min="7177" max="7177" width="15.85546875" style="205" customWidth="1"/>
    <col min="7178" max="7178" width="11.85546875" style="205" customWidth="1"/>
    <col min="7179" max="7420" width="9.140625" style="205"/>
    <col min="7421" max="7421" width="50.7109375" style="205" customWidth="1"/>
    <col min="7422" max="7422" width="6.7109375" style="205" customWidth="1"/>
    <col min="7423" max="7427" width="0" style="205" hidden="1" customWidth="1"/>
    <col min="7428" max="7429" width="15.85546875" style="205" customWidth="1"/>
    <col min="7430" max="7430" width="13" style="205" customWidth="1"/>
    <col min="7431" max="7431" width="13.7109375" style="205" customWidth="1"/>
    <col min="7432" max="7432" width="11" style="205" customWidth="1"/>
    <col min="7433" max="7433" width="15.85546875" style="205" customWidth="1"/>
    <col min="7434" max="7434" width="11.85546875" style="205" customWidth="1"/>
    <col min="7435" max="7676" width="9.140625" style="205"/>
    <col min="7677" max="7677" width="50.7109375" style="205" customWidth="1"/>
    <col min="7678" max="7678" width="6.7109375" style="205" customWidth="1"/>
    <col min="7679" max="7683" width="0" style="205" hidden="1" customWidth="1"/>
    <col min="7684" max="7685" width="15.85546875" style="205" customWidth="1"/>
    <col min="7686" max="7686" width="13" style="205" customWidth="1"/>
    <col min="7687" max="7687" width="13.7109375" style="205" customWidth="1"/>
    <col min="7688" max="7688" width="11" style="205" customWidth="1"/>
    <col min="7689" max="7689" width="15.85546875" style="205" customWidth="1"/>
    <col min="7690" max="7690" width="11.85546875" style="205" customWidth="1"/>
    <col min="7691" max="7932" width="9.140625" style="205"/>
    <col min="7933" max="7933" width="50.7109375" style="205" customWidth="1"/>
    <col min="7934" max="7934" width="6.7109375" style="205" customWidth="1"/>
    <col min="7935" max="7939" width="0" style="205" hidden="1" customWidth="1"/>
    <col min="7940" max="7941" width="15.85546875" style="205" customWidth="1"/>
    <col min="7942" max="7942" width="13" style="205" customWidth="1"/>
    <col min="7943" max="7943" width="13.7109375" style="205" customWidth="1"/>
    <col min="7944" max="7944" width="11" style="205" customWidth="1"/>
    <col min="7945" max="7945" width="15.85546875" style="205" customWidth="1"/>
    <col min="7946" max="7946" width="11.85546875" style="205" customWidth="1"/>
    <col min="7947" max="8188" width="9.140625" style="205"/>
    <col min="8189" max="8189" width="50.7109375" style="205" customWidth="1"/>
    <col min="8190" max="8190" width="6.7109375" style="205" customWidth="1"/>
    <col min="8191" max="8195" width="0" style="205" hidden="1" customWidth="1"/>
    <col min="8196" max="8197" width="15.85546875" style="205" customWidth="1"/>
    <col min="8198" max="8198" width="13" style="205" customWidth="1"/>
    <col min="8199" max="8199" width="13.7109375" style="205" customWidth="1"/>
    <col min="8200" max="8200" width="11" style="205" customWidth="1"/>
    <col min="8201" max="8201" width="15.85546875" style="205" customWidth="1"/>
    <col min="8202" max="8202" width="11.85546875" style="205" customWidth="1"/>
    <col min="8203" max="8444" width="9.140625" style="205"/>
    <col min="8445" max="8445" width="50.7109375" style="205" customWidth="1"/>
    <col min="8446" max="8446" width="6.7109375" style="205" customWidth="1"/>
    <col min="8447" max="8451" width="0" style="205" hidden="1" customWidth="1"/>
    <col min="8452" max="8453" width="15.85546875" style="205" customWidth="1"/>
    <col min="8454" max="8454" width="13" style="205" customWidth="1"/>
    <col min="8455" max="8455" width="13.7109375" style="205" customWidth="1"/>
    <col min="8456" max="8456" width="11" style="205" customWidth="1"/>
    <col min="8457" max="8457" width="15.85546875" style="205" customWidth="1"/>
    <col min="8458" max="8458" width="11.85546875" style="205" customWidth="1"/>
    <col min="8459" max="8700" width="9.140625" style="205"/>
    <col min="8701" max="8701" width="50.7109375" style="205" customWidth="1"/>
    <col min="8702" max="8702" width="6.7109375" style="205" customWidth="1"/>
    <col min="8703" max="8707" width="0" style="205" hidden="1" customWidth="1"/>
    <col min="8708" max="8709" width="15.85546875" style="205" customWidth="1"/>
    <col min="8710" max="8710" width="13" style="205" customWidth="1"/>
    <col min="8711" max="8711" width="13.7109375" style="205" customWidth="1"/>
    <col min="8712" max="8712" width="11" style="205" customWidth="1"/>
    <col min="8713" max="8713" width="15.85546875" style="205" customWidth="1"/>
    <col min="8714" max="8714" width="11.85546875" style="205" customWidth="1"/>
    <col min="8715" max="8956" width="9.140625" style="205"/>
    <col min="8957" max="8957" width="50.7109375" style="205" customWidth="1"/>
    <col min="8958" max="8958" width="6.7109375" style="205" customWidth="1"/>
    <col min="8959" max="8963" width="0" style="205" hidden="1" customWidth="1"/>
    <col min="8964" max="8965" width="15.85546875" style="205" customWidth="1"/>
    <col min="8966" max="8966" width="13" style="205" customWidth="1"/>
    <col min="8967" max="8967" width="13.7109375" style="205" customWidth="1"/>
    <col min="8968" max="8968" width="11" style="205" customWidth="1"/>
    <col min="8969" max="8969" width="15.85546875" style="205" customWidth="1"/>
    <col min="8970" max="8970" width="11.85546875" style="205" customWidth="1"/>
    <col min="8971" max="9212" width="9.140625" style="205"/>
    <col min="9213" max="9213" width="50.7109375" style="205" customWidth="1"/>
    <col min="9214" max="9214" width="6.7109375" style="205" customWidth="1"/>
    <col min="9215" max="9219" width="0" style="205" hidden="1" customWidth="1"/>
    <col min="9220" max="9221" width="15.85546875" style="205" customWidth="1"/>
    <col min="9222" max="9222" width="13" style="205" customWidth="1"/>
    <col min="9223" max="9223" width="13.7109375" style="205" customWidth="1"/>
    <col min="9224" max="9224" width="11" style="205" customWidth="1"/>
    <col min="9225" max="9225" width="15.85546875" style="205" customWidth="1"/>
    <col min="9226" max="9226" width="11.85546875" style="205" customWidth="1"/>
    <col min="9227" max="9468" width="9.140625" style="205"/>
    <col min="9469" max="9469" width="50.7109375" style="205" customWidth="1"/>
    <col min="9470" max="9470" width="6.7109375" style="205" customWidth="1"/>
    <col min="9471" max="9475" width="0" style="205" hidden="1" customWidth="1"/>
    <col min="9476" max="9477" width="15.85546875" style="205" customWidth="1"/>
    <col min="9478" max="9478" width="13" style="205" customWidth="1"/>
    <col min="9479" max="9479" width="13.7109375" style="205" customWidth="1"/>
    <col min="9480" max="9480" width="11" style="205" customWidth="1"/>
    <col min="9481" max="9481" width="15.85546875" style="205" customWidth="1"/>
    <col min="9482" max="9482" width="11.85546875" style="205" customWidth="1"/>
    <col min="9483" max="9724" width="9.140625" style="205"/>
    <col min="9725" max="9725" width="50.7109375" style="205" customWidth="1"/>
    <col min="9726" max="9726" width="6.7109375" style="205" customWidth="1"/>
    <col min="9727" max="9731" width="0" style="205" hidden="1" customWidth="1"/>
    <col min="9732" max="9733" width="15.85546875" style="205" customWidth="1"/>
    <col min="9734" max="9734" width="13" style="205" customWidth="1"/>
    <col min="9735" max="9735" width="13.7109375" style="205" customWidth="1"/>
    <col min="9736" max="9736" width="11" style="205" customWidth="1"/>
    <col min="9737" max="9737" width="15.85546875" style="205" customWidth="1"/>
    <col min="9738" max="9738" width="11.85546875" style="205" customWidth="1"/>
    <col min="9739" max="9980" width="9.140625" style="205"/>
    <col min="9981" max="9981" width="50.7109375" style="205" customWidth="1"/>
    <col min="9982" max="9982" width="6.7109375" style="205" customWidth="1"/>
    <col min="9983" max="9987" width="0" style="205" hidden="1" customWidth="1"/>
    <col min="9988" max="9989" width="15.85546875" style="205" customWidth="1"/>
    <col min="9990" max="9990" width="13" style="205" customWidth="1"/>
    <col min="9991" max="9991" width="13.7109375" style="205" customWidth="1"/>
    <col min="9992" max="9992" width="11" style="205" customWidth="1"/>
    <col min="9993" max="9993" width="15.85546875" style="205" customWidth="1"/>
    <col min="9994" max="9994" width="11.85546875" style="205" customWidth="1"/>
    <col min="9995" max="10236" width="9.140625" style="205"/>
    <col min="10237" max="10237" width="50.7109375" style="205" customWidth="1"/>
    <col min="10238" max="10238" width="6.7109375" style="205" customWidth="1"/>
    <col min="10239" max="10243" width="0" style="205" hidden="1" customWidth="1"/>
    <col min="10244" max="10245" width="15.85546875" style="205" customWidth="1"/>
    <col min="10246" max="10246" width="13" style="205" customWidth="1"/>
    <col min="10247" max="10247" width="13.7109375" style="205" customWidth="1"/>
    <col min="10248" max="10248" width="11" style="205" customWidth="1"/>
    <col min="10249" max="10249" width="15.85546875" style="205" customWidth="1"/>
    <col min="10250" max="10250" width="11.85546875" style="205" customWidth="1"/>
    <col min="10251" max="10492" width="9.140625" style="205"/>
    <col min="10493" max="10493" width="50.7109375" style="205" customWidth="1"/>
    <col min="10494" max="10494" width="6.7109375" style="205" customWidth="1"/>
    <col min="10495" max="10499" width="0" style="205" hidden="1" customWidth="1"/>
    <col min="10500" max="10501" width="15.85546875" style="205" customWidth="1"/>
    <col min="10502" max="10502" width="13" style="205" customWidth="1"/>
    <col min="10503" max="10503" width="13.7109375" style="205" customWidth="1"/>
    <col min="10504" max="10504" width="11" style="205" customWidth="1"/>
    <col min="10505" max="10505" width="15.85546875" style="205" customWidth="1"/>
    <col min="10506" max="10506" width="11.85546875" style="205" customWidth="1"/>
    <col min="10507" max="10748" width="9.140625" style="205"/>
    <col min="10749" max="10749" width="50.7109375" style="205" customWidth="1"/>
    <col min="10750" max="10750" width="6.7109375" style="205" customWidth="1"/>
    <col min="10751" max="10755" width="0" style="205" hidden="1" customWidth="1"/>
    <col min="10756" max="10757" width="15.85546875" style="205" customWidth="1"/>
    <col min="10758" max="10758" width="13" style="205" customWidth="1"/>
    <col min="10759" max="10759" width="13.7109375" style="205" customWidth="1"/>
    <col min="10760" max="10760" width="11" style="205" customWidth="1"/>
    <col min="10761" max="10761" width="15.85546875" style="205" customWidth="1"/>
    <col min="10762" max="10762" width="11.85546875" style="205" customWidth="1"/>
    <col min="10763" max="11004" width="9.140625" style="205"/>
    <col min="11005" max="11005" width="50.7109375" style="205" customWidth="1"/>
    <col min="11006" max="11006" width="6.7109375" style="205" customWidth="1"/>
    <col min="11007" max="11011" width="0" style="205" hidden="1" customWidth="1"/>
    <col min="11012" max="11013" width="15.85546875" style="205" customWidth="1"/>
    <col min="11014" max="11014" width="13" style="205" customWidth="1"/>
    <col min="11015" max="11015" width="13.7109375" style="205" customWidth="1"/>
    <col min="11016" max="11016" width="11" style="205" customWidth="1"/>
    <col min="11017" max="11017" width="15.85546875" style="205" customWidth="1"/>
    <col min="11018" max="11018" width="11.85546875" style="205" customWidth="1"/>
    <col min="11019" max="11260" width="9.140625" style="205"/>
    <col min="11261" max="11261" width="50.7109375" style="205" customWidth="1"/>
    <col min="11262" max="11262" width="6.7109375" style="205" customWidth="1"/>
    <col min="11263" max="11267" width="0" style="205" hidden="1" customWidth="1"/>
    <col min="11268" max="11269" width="15.85546875" style="205" customWidth="1"/>
    <col min="11270" max="11270" width="13" style="205" customWidth="1"/>
    <col min="11271" max="11271" width="13.7109375" style="205" customWidth="1"/>
    <col min="11272" max="11272" width="11" style="205" customWidth="1"/>
    <col min="11273" max="11273" width="15.85546875" style="205" customWidth="1"/>
    <col min="11274" max="11274" width="11.85546875" style="205" customWidth="1"/>
    <col min="11275" max="11516" width="9.140625" style="205"/>
    <col min="11517" max="11517" width="50.7109375" style="205" customWidth="1"/>
    <col min="11518" max="11518" width="6.7109375" style="205" customWidth="1"/>
    <col min="11519" max="11523" width="0" style="205" hidden="1" customWidth="1"/>
    <col min="11524" max="11525" width="15.85546875" style="205" customWidth="1"/>
    <col min="11526" max="11526" width="13" style="205" customWidth="1"/>
    <col min="11527" max="11527" width="13.7109375" style="205" customWidth="1"/>
    <col min="11528" max="11528" width="11" style="205" customWidth="1"/>
    <col min="11529" max="11529" width="15.85546875" style="205" customWidth="1"/>
    <col min="11530" max="11530" width="11.85546875" style="205" customWidth="1"/>
    <col min="11531" max="11772" width="9.140625" style="205"/>
    <col min="11773" max="11773" width="50.7109375" style="205" customWidth="1"/>
    <col min="11774" max="11774" width="6.7109375" style="205" customWidth="1"/>
    <col min="11775" max="11779" width="0" style="205" hidden="1" customWidth="1"/>
    <col min="11780" max="11781" width="15.85546875" style="205" customWidth="1"/>
    <col min="11782" max="11782" width="13" style="205" customWidth="1"/>
    <col min="11783" max="11783" width="13.7109375" style="205" customWidth="1"/>
    <col min="11784" max="11784" width="11" style="205" customWidth="1"/>
    <col min="11785" max="11785" width="15.85546875" style="205" customWidth="1"/>
    <col min="11786" max="11786" width="11.85546875" style="205" customWidth="1"/>
    <col min="11787" max="12028" width="9.140625" style="205"/>
    <col min="12029" max="12029" width="50.7109375" style="205" customWidth="1"/>
    <col min="12030" max="12030" width="6.7109375" style="205" customWidth="1"/>
    <col min="12031" max="12035" width="0" style="205" hidden="1" customWidth="1"/>
    <col min="12036" max="12037" width="15.85546875" style="205" customWidth="1"/>
    <col min="12038" max="12038" width="13" style="205" customWidth="1"/>
    <col min="12039" max="12039" width="13.7109375" style="205" customWidth="1"/>
    <col min="12040" max="12040" width="11" style="205" customWidth="1"/>
    <col min="12041" max="12041" width="15.85546875" style="205" customWidth="1"/>
    <col min="12042" max="12042" width="11.85546875" style="205" customWidth="1"/>
    <col min="12043" max="12284" width="9.140625" style="205"/>
    <col min="12285" max="12285" width="50.7109375" style="205" customWidth="1"/>
    <col min="12286" max="12286" width="6.7109375" style="205" customWidth="1"/>
    <col min="12287" max="12291" width="0" style="205" hidden="1" customWidth="1"/>
    <col min="12292" max="12293" width="15.85546875" style="205" customWidth="1"/>
    <col min="12294" max="12294" width="13" style="205" customWidth="1"/>
    <col min="12295" max="12295" width="13.7109375" style="205" customWidth="1"/>
    <col min="12296" max="12296" width="11" style="205" customWidth="1"/>
    <col min="12297" max="12297" width="15.85546875" style="205" customWidth="1"/>
    <col min="12298" max="12298" width="11.85546875" style="205" customWidth="1"/>
    <col min="12299" max="12540" width="9.140625" style="205"/>
    <col min="12541" max="12541" width="50.7109375" style="205" customWidth="1"/>
    <col min="12542" max="12542" width="6.7109375" style="205" customWidth="1"/>
    <col min="12543" max="12547" width="0" style="205" hidden="1" customWidth="1"/>
    <col min="12548" max="12549" width="15.85546875" style="205" customWidth="1"/>
    <col min="12550" max="12550" width="13" style="205" customWidth="1"/>
    <col min="12551" max="12551" width="13.7109375" style="205" customWidth="1"/>
    <col min="12552" max="12552" width="11" style="205" customWidth="1"/>
    <col min="12553" max="12553" width="15.85546875" style="205" customWidth="1"/>
    <col min="12554" max="12554" width="11.85546875" style="205" customWidth="1"/>
    <col min="12555" max="12796" width="9.140625" style="205"/>
    <col min="12797" max="12797" width="50.7109375" style="205" customWidth="1"/>
    <col min="12798" max="12798" width="6.7109375" style="205" customWidth="1"/>
    <col min="12799" max="12803" width="0" style="205" hidden="1" customWidth="1"/>
    <col min="12804" max="12805" width="15.85546875" style="205" customWidth="1"/>
    <col min="12806" max="12806" width="13" style="205" customWidth="1"/>
    <col min="12807" max="12807" width="13.7109375" style="205" customWidth="1"/>
    <col min="12808" max="12808" width="11" style="205" customWidth="1"/>
    <col min="12809" max="12809" width="15.85546875" style="205" customWidth="1"/>
    <col min="12810" max="12810" width="11.85546875" style="205" customWidth="1"/>
    <col min="12811" max="13052" width="9.140625" style="205"/>
    <col min="13053" max="13053" width="50.7109375" style="205" customWidth="1"/>
    <col min="13054" max="13054" width="6.7109375" style="205" customWidth="1"/>
    <col min="13055" max="13059" width="0" style="205" hidden="1" customWidth="1"/>
    <col min="13060" max="13061" width="15.85546875" style="205" customWidth="1"/>
    <col min="13062" max="13062" width="13" style="205" customWidth="1"/>
    <col min="13063" max="13063" width="13.7109375" style="205" customWidth="1"/>
    <col min="13064" max="13064" width="11" style="205" customWidth="1"/>
    <col min="13065" max="13065" width="15.85546875" style="205" customWidth="1"/>
    <col min="13066" max="13066" width="11.85546875" style="205" customWidth="1"/>
    <col min="13067" max="13308" width="9.140625" style="205"/>
    <col min="13309" max="13309" width="50.7109375" style="205" customWidth="1"/>
    <col min="13310" max="13310" width="6.7109375" style="205" customWidth="1"/>
    <col min="13311" max="13315" width="0" style="205" hidden="1" customWidth="1"/>
    <col min="13316" max="13317" width="15.85546875" style="205" customWidth="1"/>
    <col min="13318" max="13318" width="13" style="205" customWidth="1"/>
    <col min="13319" max="13319" width="13.7109375" style="205" customWidth="1"/>
    <col min="13320" max="13320" width="11" style="205" customWidth="1"/>
    <col min="13321" max="13321" width="15.85546875" style="205" customWidth="1"/>
    <col min="13322" max="13322" width="11.85546875" style="205" customWidth="1"/>
    <col min="13323" max="13564" width="9.140625" style="205"/>
    <col min="13565" max="13565" width="50.7109375" style="205" customWidth="1"/>
    <col min="13566" max="13566" width="6.7109375" style="205" customWidth="1"/>
    <col min="13567" max="13571" width="0" style="205" hidden="1" customWidth="1"/>
    <col min="13572" max="13573" width="15.85546875" style="205" customWidth="1"/>
    <col min="13574" max="13574" width="13" style="205" customWidth="1"/>
    <col min="13575" max="13575" width="13.7109375" style="205" customWidth="1"/>
    <col min="13576" max="13576" width="11" style="205" customWidth="1"/>
    <col min="13577" max="13577" width="15.85546875" style="205" customWidth="1"/>
    <col min="13578" max="13578" width="11.85546875" style="205" customWidth="1"/>
    <col min="13579" max="13820" width="9.140625" style="205"/>
    <col min="13821" max="13821" width="50.7109375" style="205" customWidth="1"/>
    <col min="13822" max="13822" width="6.7109375" style="205" customWidth="1"/>
    <col min="13823" max="13827" width="0" style="205" hidden="1" customWidth="1"/>
    <col min="13828" max="13829" width="15.85546875" style="205" customWidth="1"/>
    <col min="13830" max="13830" width="13" style="205" customWidth="1"/>
    <col min="13831" max="13831" width="13.7109375" style="205" customWidth="1"/>
    <col min="13832" max="13832" width="11" style="205" customWidth="1"/>
    <col min="13833" max="13833" width="15.85546875" style="205" customWidth="1"/>
    <col min="13834" max="13834" width="11.85546875" style="205" customWidth="1"/>
    <col min="13835" max="14076" width="9.140625" style="205"/>
    <col min="14077" max="14077" width="50.7109375" style="205" customWidth="1"/>
    <col min="14078" max="14078" width="6.7109375" style="205" customWidth="1"/>
    <col min="14079" max="14083" width="0" style="205" hidden="1" customWidth="1"/>
    <col min="14084" max="14085" width="15.85546875" style="205" customWidth="1"/>
    <col min="14086" max="14086" width="13" style="205" customWidth="1"/>
    <col min="14087" max="14087" width="13.7109375" style="205" customWidth="1"/>
    <col min="14088" max="14088" width="11" style="205" customWidth="1"/>
    <col min="14089" max="14089" width="15.85546875" style="205" customWidth="1"/>
    <col min="14090" max="14090" width="11.85546875" style="205" customWidth="1"/>
    <col min="14091" max="14332" width="9.140625" style="205"/>
    <col min="14333" max="14333" width="50.7109375" style="205" customWidth="1"/>
    <col min="14334" max="14334" width="6.7109375" style="205" customWidth="1"/>
    <col min="14335" max="14339" width="0" style="205" hidden="1" customWidth="1"/>
    <col min="14340" max="14341" width="15.85546875" style="205" customWidth="1"/>
    <col min="14342" max="14342" width="13" style="205" customWidth="1"/>
    <col min="14343" max="14343" width="13.7109375" style="205" customWidth="1"/>
    <col min="14344" max="14344" width="11" style="205" customWidth="1"/>
    <col min="14345" max="14345" width="15.85546875" style="205" customWidth="1"/>
    <col min="14346" max="14346" width="11.85546875" style="205" customWidth="1"/>
    <col min="14347" max="14588" width="9.140625" style="205"/>
    <col min="14589" max="14589" width="50.7109375" style="205" customWidth="1"/>
    <col min="14590" max="14590" width="6.7109375" style="205" customWidth="1"/>
    <col min="14591" max="14595" width="0" style="205" hidden="1" customWidth="1"/>
    <col min="14596" max="14597" width="15.85546875" style="205" customWidth="1"/>
    <col min="14598" max="14598" width="13" style="205" customWidth="1"/>
    <col min="14599" max="14599" width="13.7109375" style="205" customWidth="1"/>
    <col min="14600" max="14600" width="11" style="205" customWidth="1"/>
    <col min="14601" max="14601" width="15.85546875" style="205" customWidth="1"/>
    <col min="14602" max="14602" width="11.85546875" style="205" customWidth="1"/>
    <col min="14603" max="14844" width="9.140625" style="205"/>
    <col min="14845" max="14845" width="50.7109375" style="205" customWidth="1"/>
    <col min="14846" max="14846" width="6.7109375" style="205" customWidth="1"/>
    <col min="14847" max="14851" width="0" style="205" hidden="1" customWidth="1"/>
    <col min="14852" max="14853" width="15.85546875" style="205" customWidth="1"/>
    <col min="14854" max="14854" width="13" style="205" customWidth="1"/>
    <col min="14855" max="14855" width="13.7109375" style="205" customWidth="1"/>
    <col min="14856" max="14856" width="11" style="205" customWidth="1"/>
    <col min="14857" max="14857" width="15.85546875" style="205" customWidth="1"/>
    <col min="14858" max="14858" width="11.85546875" style="205" customWidth="1"/>
    <col min="14859" max="15100" width="9.140625" style="205"/>
    <col min="15101" max="15101" width="50.7109375" style="205" customWidth="1"/>
    <col min="15102" max="15102" width="6.7109375" style="205" customWidth="1"/>
    <col min="15103" max="15107" width="0" style="205" hidden="1" customWidth="1"/>
    <col min="15108" max="15109" width="15.85546875" style="205" customWidth="1"/>
    <col min="15110" max="15110" width="13" style="205" customWidth="1"/>
    <col min="15111" max="15111" width="13.7109375" style="205" customWidth="1"/>
    <col min="15112" max="15112" width="11" style="205" customWidth="1"/>
    <col min="15113" max="15113" width="15.85546875" style="205" customWidth="1"/>
    <col min="15114" max="15114" width="11.85546875" style="205" customWidth="1"/>
    <col min="15115" max="15356" width="9.140625" style="205"/>
    <col min="15357" max="15357" width="50.7109375" style="205" customWidth="1"/>
    <col min="15358" max="15358" width="6.7109375" style="205" customWidth="1"/>
    <col min="15359" max="15363" width="0" style="205" hidden="1" customWidth="1"/>
    <col min="15364" max="15365" width="15.85546875" style="205" customWidth="1"/>
    <col min="15366" max="15366" width="13" style="205" customWidth="1"/>
    <col min="15367" max="15367" width="13.7109375" style="205" customWidth="1"/>
    <col min="15368" max="15368" width="11" style="205" customWidth="1"/>
    <col min="15369" max="15369" width="15.85546875" style="205" customWidth="1"/>
    <col min="15370" max="15370" width="11.85546875" style="205" customWidth="1"/>
    <col min="15371" max="15612" width="9.140625" style="205"/>
    <col min="15613" max="15613" width="50.7109375" style="205" customWidth="1"/>
    <col min="15614" max="15614" width="6.7109375" style="205" customWidth="1"/>
    <col min="15615" max="15619" width="0" style="205" hidden="1" customWidth="1"/>
    <col min="15620" max="15621" width="15.85546875" style="205" customWidth="1"/>
    <col min="15622" max="15622" width="13" style="205" customWidth="1"/>
    <col min="15623" max="15623" width="13.7109375" style="205" customWidth="1"/>
    <col min="15624" max="15624" width="11" style="205" customWidth="1"/>
    <col min="15625" max="15625" width="15.85546875" style="205" customWidth="1"/>
    <col min="15626" max="15626" width="11.85546875" style="205" customWidth="1"/>
    <col min="15627" max="15868" width="9.140625" style="205"/>
    <col min="15869" max="15869" width="50.7109375" style="205" customWidth="1"/>
    <col min="15870" max="15870" width="6.7109375" style="205" customWidth="1"/>
    <col min="15871" max="15875" width="0" style="205" hidden="1" customWidth="1"/>
    <col min="15876" max="15877" width="15.85546875" style="205" customWidth="1"/>
    <col min="15878" max="15878" width="13" style="205" customWidth="1"/>
    <col min="15879" max="15879" width="13.7109375" style="205" customWidth="1"/>
    <col min="15880" max="15880" width="11" style="205" customWidth="1"/>
    <col min="15881" max="15881" width="15.85546875" style="205" customWidth="1"/>
    <col min="15882" max="15882" width="11.85546875" style="205" customWidth="1"/>
    <col min="15883" max="16124" width="9.140625" style="205"/>
    <col min="16125" max="16125" width="50.7109375" style="205" customWidth="1"/>
    <col min="16126" max="16126" width="6.7109375" style="205" customWidth="1"/>
    <col min="16127" max="16131" width="0" style="205" hidden="1" customWidth="1"/>
    <col min="16132" max="16133" width="15.85546875" style="205" customWidth="1"/>
    <col min="16134" max="16134" width="13" style="205" customWidth="1"/>
    <col min="16135" max="16135" width="13.7109375" style="205" customWidth="1"/>
    <col min="16136" max="16136" width="11" style="205" customWidth="1"/>
    <col min="16137" max="16137" width="15.85546875" style="205" customWidth="1"/>
    <col min="16138" max="16138" width="11.85546875" style="205" customWidth="1"/>
    <col min="16139" max="16384" width="9.140625" style="205"/>
  </cols>
  <sheetData>
    <row r="1" spans="1:10" s="198" customFormat="1" ht="16.5" customHeight="1">
      <c r="A1" s="1" t="s">
        <v>756</v>
      </c>
      <c r="B1" s="197"/>
    </row>
    <row r="2" spans="1:10" s="198" customFormat="1" ht="16.5" customHeight="1">
      <c r="A2" s="4" t="s">
        <v>1</v>
      </c>
      <c r="B2" s="197"/>
    </row>
    <row r="3" spans="1:10" s="201" customFormat="1" ht="16.5" customHeight="1">
      <c r="A3" s="199" t="s">
        <v>757</v>
      </c>
      <c r="B3" s="200"/>
    </row>
    <row r="4" spans="1:10" s="203" customFormat="1" ht="62.25" customHeight="1">
      <c r="A4" s="121" t="s">
        <v>247</v>
      </c>
      <c r="B4" s="122" t="s">
        <v>248</v>
      </c>
      <c r="C4" s="202" t="s">
        <v>358</v>
      </c>
      <c r="D4" s="202" t="s">
        <v>359</v>
      </c>
      <c r="E4" s="123" t="s">
        <v>251</v>
      </c>
      <c r="F4" s="123" t="s">
        <v>252</v>
      </c>
      <c r="G4" s="123" t="s">
        <v>253</v>
      </c>
      <c r="H4" s="123" t="s">
        <v>360</v>
      </c>
      <c r="I4" s="123" t="s">
        <v>761</v>
      </c>
      <c r="J4" s="123" t="s">
        <v>361</v>
      </c>
    </row>
    <row r="5" spans="1:10" ht="17.25" customHeight="1">
      <c r="A5" s="355" t="s">
        <v>255</v>
      </c>
      <c r="B5" s="356"/>
      <c r="C5" s="204"/>
      <c r="D5" s="204"/>
      <c r="E5" s="204"/>
      <c r="F5" s="204"/>
      <c r="G5" s="204"/>
      <c r="H5" s="204"/>
      <c r="I5" s="204"/>
      <c r="J5" s="204"/>
    </row>
    <row r="6" spans="1:10" ht="15" customHeight="1">
      <c r="A6" s="206" t="s">
        <v>362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s="210" customFormat="1" ht="15.75" customHeight="1">
      <c r="A7" s="207" t="s">
        <v>363</v>
      </c>
      <c r="B7" s="130" t="s">
        <v>364</v>
      </c>
      <c r="C7" s="159">
        <f t="shared" ref="C7:I7" si="0">SUM(C8)</f>
        <v>122488</v>
      </c>
      <c r="D7" s="159">
        <f t="shared" si="0"/>
        <v>122488</v>
      </c>
      <c r="E7" s="159">
        <f t="shared" si="0"/>
        <v>137215</v>
      </c>
      <c r="F7" s="159">
        <f t="shared" si="0"/>
        <v>-14727</v>
      </c>
      <c r="G7" s="208">
        <f t="shared" si="0"/>
        <v>112.02321860100581</v>
      </c>
      <c r="H7" s="159">
        <f t="shared" si="0"/>
        <v>119438</v>
      </c>
      <c r="I7" s="159">
        <f t="shared" si="0"/>
        <v>119438</v>
      </c>
      <c r="J7" s="159">
        <f>SUM(J8)</f>
        <v>126750</v>
      </c>
    </row>
    <row r="8" spans="1:10" ht="25.5">
      <c r="A8" s="211" t="s">
        <v>365</v>
      </c>
      <c r="B8" s="138" t="s">
        <v>366</v>
      </c>
      <c r="C8" s="212">
        <f>[1]Подробна_Местни!C8</f>
        <v>122488</v>
      </c>
      <c r="D8" s="212">
        <f>[1]Подробна_Местни!D8</f>
        <v>122488</v>
      </c>
      <c r="E8" s="212">
        <v>137215</v>
      </c>
      <c r="F8" s="164">
        <f t="shared" ref="F8:F72" si="1">D8-E8</f>
        <v>-14727</v>
      </c>
      <c r="G8" s="209">
        <f t="shared" ref="G8:G17" si="2">E8/D8%</f>
        <v>112.02321860100581</v>
      </c>
      <c r="H8" s="212">
        <v>119438</v>
      </c>
      <c r="I8" s="212">
        <v>119438</v>
      </c>
      <c r="J8" s="212">
        <v>126750</v>
      </c>
    </row>
    <row r="9" spans="1:10" ht="21" customHeight="1">
      <c r="A9" s="211" t="s">
        <v>367</v>
      </c>
      <c r="B9" s="138" t="s">
        <v>368</v>
      </c>
      <c r="C9" s="212">
        <f>[1]Подробна_Местни!C9</f>
        <v>52850</v>
      </c>
      <c r="D9" s="212">
        <f>[1]Подробна_Местни!D9</f>
        <v>52850</v>
      </c>
      <c r="E9" s="212">
        <f>41400+14088</f>
        <v>55488</v>
      </c>
      <c r="F9" s="164">
        <f t="shared" si="1"/>
        <v>-2638</v>
      </c>
      <c r="G9" s="209">
        <f t="shared" si="2"/>
        <v>104.9914853358562</v>
      </c>
      <c r="H9" s="212">
        <v>36300</v>
      </c>
      <c r="I9" s="212">
        <v>36300</v>
      </c>
      <c r="J9" s="212">
        <f>[1]Подробна_Местни!I9</f>
        <v>43750</v>
      </c>
    </row>
    <row r="10" spans="1:10" s="210" customFormat="1" ht="15" customHeight="1">
      <c r="A10" s="129" t="s">
        <v>369</v>
      </c>
      <c r="B10" s="130" t="s">
        <v>370</v>
      </c>
      <c r="C10" s="134">
        <f>SUM(C11:C15)</f>
        <v>5574263</v>
      </c>
      <c r="D10" s="134">
        <f>SUM(D11:D15)</f>
        <v>5574263</v>
      </c>
      <c r="E10" s="134">
        <f>SUM(E11:E15)</f>
        <v>5651592</v>
      </c>
      <c r="F10" s="134">
        <f>SUM(F11:F15)</f>
        <v>-77329</v>
      </c>
      <c r="G10" s="208">
        <f t="shared" si="2"/>
        <v>101.38725065537812</v>
      </c>
      <c r="H10" s="134">
        <f>SUM(H11:H15)</f>
        <v>5807000</v>
      </c>
      <c r="I10" s="134">
        <f>SUM(I11:I15)</f>
        <v>5807000</v>
      </c>
      <c r="J10" s="134">
        <f>SUM(J11:J15)</f>
        <v>6517100</v>
      </c>
    </row>
    <row r="11" spans="1:10" ht="17.25" customHeight="1">
      <c r="A11" s="144" t="s">
        <v>371</v>
      </c>
      <c r="B11" s="138" t="s">
        <v>372</v>
      </c>
      <c r="C11" s="212">
        <f>[1]Подробна_Местни!C11</f>
        <v>1031000</v>
      </c>
      <c r="D11" s="212">
        <f>[1]Подробна_Местни!D11</f>
        <v>1031000</v>
      </c>
      <c r="E11" s="212">
        <v>1149833</v>
      </c>
      <c r="F11" s="164">
        <f t="shared" si="1"/>
        <v>-118833</v>
      </c>
      <c r="G11" s="209">
        <f t="shared" si="2"/>
        <v>111.52599418040737</v>
      </c>
      <c r="H11" s="212">
        <v>1200000</v>
      </c>
      <c r="I11" s="212">
        <v>1200000</v>
      </c>
      <c r="J11" s="212">
        <v>1200000</v>
      </c>
    </row>
    <row r="12" spans="1:10">
      <c r="A12" s="144" t="s">
        <v>373</v>
      </c>
      <c r="B12" s="138" t="s">
        <v>374</v>
      </c>
      <c r="C12" s="212">
        <f>[1]Подробна_Местни!C12</f>
        <v>100</v>
      </c>
      <c r="D12" s="212">
        <f>[1]Подробна_Местни!D12</f>
        <v>100</v>
      </c>
      <c r="E12" s="212"/>
      <c r="F12" s="164">
        <f t="shared" si="1"/>
        <v>100</v>
      </c>
      <c r="G12" s="209">
        <f t="shared" si="2"/>
        <v>0</v>
      </c>
      <c r="H12" s="212">
        <v>0</v>
      </c>
      <c r="I12" s="212">
        <v>0</v>
      </c>
      <c r="J12" s="212">
        <v>100</v>
      </c>
    </row>
    <row r="13" spans="1:10" ht="20.25" customHeight="1">
      <c r="A13" s="144" t="s">
        <v>375</v>
      </c>
      <c r="B13" s="138" t="s">
        <v>376</v>
      </c>
      <c r="C13" s="212">
        <f>[1]Подробна_Местни!C13</f>
        <v>2680000</v>
      </c>
      <c r="D13" s="212">
        <f>[1]Подробна_Местни!D13</f>
        <v>2680000</v>
      </c>
      <c r="E13" s="212">
        <v>2737766</v>
      </c>
      <c r="F13" s="164">
        <f t="shared" si="1"/>
        <v>-57766</v>
      </c>
      <c r="G13" s="209">
        <f t="shared" si="2"/>
        <v>102.15544776119403</v>
      </c>
      <c r="H13" s="212">
        <v>2800000</v>
      </c>
      <c r="I13" s="212">
        <v>2800000</v>
      </c>
      <c r="J13" s="212">
        <v>3100000</v>
      </c>
    </row>
    <row r="14" spans="1:10" ht="25.5" customHeight="1">
      <c r="A14" s="144" t="s">
        <v>377</v>
      </c>
      <c r="B14" s="138" t="s">
        <v>378</v>
      </c>
      <c r="C14" s="212">
        <f>[1]Подробна_Местни!C14</f>
        <v>1846163</v>
      </c>
      <c r="D14" s="212">
        <f>[1]Подробна_Местни!D14</f>
        <v>1846163</v>
      </c>
      <c r="E14" s="212">
        <v>1747816</v>
      </c>
      <c r="F14" s="164">
        <f t="shared" si="1"/>
        <v>98347</v>
      </c>
      <c r="G14" s="209">
        <f t="shared" si="2"/>
        <v>94.672897246884474</v>
      </c>
      <c r="H14" s="212">
        <v>1790000</v>
      </c>
      <c r="I14" s="212">
        <v>1790000</v>
      </c>
      <c r="J14" s="212">
        <v>2200000</v>
      </c>
    </row>
    <row r="15" spans="1:10" ht="16.5" customHeight="1">
      <c r="A15" s="144" t="s">
        <v>379</v>
      </c>
      <c r="B15" s="138" t="s">
        <v>380</v>
      </c>
      <c r="C15" s="212">
        <f>[1]Подробна_Местни!C15</f>
        <v>17000</v>
      </c>
      <c r="D15" s="212">
        <f>[1]Подробна_Местни!D15</f>
        <v>17000</v>
      </c>
      <c r="E15" s="212">
        <v>16177</v>
      </c>
      <c r="F15" s="164">
        <f t="shared" si="1"/>
        <v>823</v>
      </c>
      <c r="G15" s="209">
        <f t="shared" si="2"/>
        <v>95.158823529411762</v>
      </c>
      <c r="H15" s="212">
        <v>17000</v>
      </c>
      <c r="I15" s="212">
        <v>17000</v>
      </c>
      <c r="J15" s="212">
        <v>17000</v>
      </c>
    </row>
    <row r="16" spans="1:10" s="210" customFormat="1" ht="15">
      <c r="A16" s="129" t="s">
        <v>381</v>
      </c>
      <c r="B16" s="130" t="s">
        <v>382</v>
      </c>
      <c r="C16" s="159">
        <f>[1]Подробна_Местни!C16</f>
        <v>1000</v>
      </c>
      <c r="D16" s="159">
        <f>[1]Подробна_Местни!D16</f>
        <v>1000</v>
      </c>
      <c r="E16" s="159">
        <v>1637</v>
      </c>
      <c r="F16" s="164">
        <f t="shared" si="1"/>
        <v>-637</v>
      </c>
      <c r="G16" s="209"/>
      <c r="H16" s="159">
        <v>2000</v>
      </c>
      <c r="I16" s="159">
        <v>2000</v>
      </c>
      <c r="J16" s="159">
        <v>1000</v>
      </c>
    </row>
    <row r="17" spans="1:10" s="213" customFormat="1" ht="15.75">
      <c r="A17" s="157" t="s">
        <v>383</v>
      </c>
      <c r="B17" s="189"/>
      <c r="C17" s="180">
        <f>SUM(C7,C10,C16)</f>
        <v>5697751</v>
      </c>
      <c r="D17" s="180">
        <f>SUM(D7,D10,D16)</f>
        <v>5697751</v>
      </c>
      <c r="E17" s="180">
        <f>SUM(E7,E10,E16)</f>
        <v>5790444</v>
      </c>
      <c r="F17" s="180">
        <f>SUM(F7,F10,F16)</f>
        <v>-92693</v>
      </c>
      <c r="G17" s="133">
        <f t="shared" si="2"/>
        <v>101.62683486870522</v>
      </c>
      <c r="H17" s="180">
        <f>SUM(H7,H10,H16)</f>
        <v>5928438</v>
      </c>
      <c r="I17" s="180">
        <f>SUM(I7,I10,I16)</f>
        <v>5928438</v>
      </c>
      <c r="J17" s="180">
        <f>SUM(J7,J10,J16)</f>
        <v>6644850</v>
      </c>
    </row>
    <row r="18" spans="1:10" s="210" customFormat="1" ht="16.5" customHeight="1">
      <c r="A18" s="206" t="s">
        <v>384</v>
      </c>
      <c r="B18" s="130"/>
      <c r="C18" s="159"/>
      <c r="D18" s="159"/>
      <c r="E18" s="159"/>
      <c r="F18" s="164">
        <f t="shared" si="1"/>
        <v>0</v>
      </c>
      <c r="G18" s="208"/>
      <c r="H18" s="159"/>
      <c r="I18" s="159"/>
      <c r="J18" s="159"/>
    </row>
    <row r="19" spans="1:10" s="210" customFormat="1" ht="18.75" customHeight="1">
      <c r="A19" s="129" t="s">
        <v>257</v>
      </c>
      <c r="B19" s="130" t="s">
        <v>385</v>
      </c>
      <c r="C19" s="134">
        <f>SUM(C20:C26)</f>
        <v>1824475</v>
      </c>
      <c r="D19" s="134">
        <f>SUM(D20:D26)</f>
        <v>1864679</v>
      </c>
      <c r="E19" s="134">
        <f>SUM(E20:E26)</f>
        <v>1749819</v>
      </c>
      <c r="F19" s="134">
        <f>SUM(F20:F26)</f>
        <v>114860</v>
      </c>
      <c r="G19" s="214">
        <f t="shared" ref="G19:G25" si="3">E19/D19%</f>
        <v>93.840226655633487</v>
      </c>
      <c r="H19" s="134">
        <f>SUM(H20:H26)</f>
        <v>1921690</v>
      </c>
      <c r="I19" s="134">
        <f>SUM(I20:I26)</f>
        <v>1921690</v>
      </c>
      <c r="J19" s="134">
        <f>SUM(J20:J26)</f>
        <v>2014660</v>
      </c>
    </row>
    <row r="20" spans="1:10" ht="24" customHeight="1">
      <c r="A20" s="144" t="s">
        <v>386</v>
      </c>
      <c r="B20" s="138" t="s">
        <v>387</v>
      </c>
      <c r="C20" s="212">
        <f>[1]Подробна_Местни!C20</f>
        <v>797910</v>
      </c>
      <c r="D20" s="212">
        <v>797910</v>
      </c>
      <c r="E20" s="212">
        <v>627619</v>
      </c>
      <c r="F20" s="164">
        <f t="shared" si="1"/>
        <v>170291</v>
      </c>
      <c r="G20" s="209">
        <f t="shared" si="3"/>
        <v>78.657868681931546</v>
      </c>
      <c r="H20" s="212">
        <v>833410</v>
      </c>
      <c r="I20" s="212">
        <v>833410</v>
      </c>
      <c r="J20" s="212">
        <v>809600</v>
      </c>
    </row>
    <row r="21" spans="1:10">
      <c r="A21" s="137" t="s">
        <v>259</v>
      </c>
      <c r="B21" s="138" t="s">
        <v>388</v>
      </c>
      <c r="C21" s="212">
        <f>[1]Подробна_Местни!C43</f>
        <v>858315</v>
      </c>
      <c r="D21" s="212">
        <v>898519</v>
      </c>
      <c r="E21" s="212">
        <v>954283</v>
      </c>
      <c r="F21" s="164">
        <f t="shared" si="1"/>
        <v>-55764</v>
      </c>
      <c r="G21" s="209">
        <f t="shared" si="3"/>
        <v>106.20621266773435</v>
      </c>
      <c r="H21" s="212">
        <v>919980</v>
      </c>
      <c r="I21" s="212">
        <v>919980</v>
      </c>
      <c r="J21" s="212">
        <v>1016760</v>
      </c>
    </row>
    <row r="22" spans="1:10">
      <c r="A22" s="137" t="s">
        <v>389</v>
      </c>
      <c r="B22" s="138" t="s">
        <v>390</v>
      </c>
      <c r="C22" s="212">
        <f>[1]Подробна_Местни!C54</f>
        <v>160000</v>
      </c>
      <c r="D22" s="212">
        <f>[1]Подробна_Местни!D54</f>
        <v>160000</v>
      </c>
      <c r="E22" s="212">
        <v>165482</v>
      </c>
      <c r="F22" s="164">
        <f t="shared" si="1"/>
        <v>-5482</v>
      </c>
      <c r="G22" s="209">
        <f t="shared" si="3"/>
        <v>103.42625</v>
      </c>
      <c r="H22" s="212">
        <v>160000</v>
      </c>
      <c r="I22" s="212">
        <v>160000</v>
      </c>
      <c r="J22" s="212">
        <v>180000</v>
      </c>
    </row>
    <row r="23" spans="1:10">
      <c r="A23" s="137" t="s">
        <v>391</v>
      </c>
      <c r="B23" s="138" t="s">
        <v>392</v>
      </c>
      <c r="C23" s="212">
        <f>[1]Подробна_Местни!C55</f>
        <v>8000</v>
      </c>
      <c r="D23" s="212">
        <f>[1]Подробна_Местни!D55</f>
        <v>8000</v>
      </c>
      <c r="E23" s="212">
        <v>2401</v>
      </c>
      <c r="F23" s="164">
        <f t="shared" si="1"/>
        <v>5599</v>
      </c>
      <c r="G23" s="209">
        <f t="shared" si="3"/>
        <v>30.012499999999999</v>
      </c>
      <c r="H23" s="212">
        <v>8000</v>
      </c>
      <c r="I23" s="212">
        <v>8000</v>
      </c>
      <c r="J23" s="212">
        <v>8000</v>
      </c>
    </row>
    <row r="24" spans="1:10" ht="14.25" customHeight="1">
      <c r="A24" s="144" t="s">
        <v>393</v>
      </c>
      <c r="B24" s="138" t="s">
        <v>394</v>
      </c>
      <c r="C24" s="212">
        <f>[1]Подробна_Местни!C56</f>
        <v>50</v>
      </c>
      <c r="D24" s="212">
        <f>[1]Подробна_Местни!D56</f>
        <v>50</v>
      </c>
      <c r="E24" s="212">
        <v>7</v>
      </c>
      <c r="F24" s="164">
        <f t="shared" si="1"/>
        <v>43</v>
      </c>
      <c r="G24" s="209">
        <f t="shared" si="3"/>
        <v>14</v>
      </c>
      <c r="H24" s="212">
        <v>100</v>
      </c>
      <c r="I24" s="212">
        <v>100</v>
      </c>
      <c r="J24" s="212">
        <v>100</v>
      </c>
    </row>
    <row r="25" spans="1:10">
      <c r="A25" s="137" t="s">
        <v>395</v>
      </c>
      <c r="B25" s="138" t="s">
        <v>396</v>
      </c>
      <c r="C25" s="212">
        <f>[1]Подробна_Местни!C57</f>
        <v>200</v>
      </c>
      <c r="D25" s="212">
        <f>[1]Подробна_Местни!D57</f>
        <v>200</v>
      </c>
      <c r="E25" s="212">
        <v>27</v>
      </c>
      <c r="F25" s="164">
        <f t="shared" si="1"/>
        <v>173</v>
      </c>
      <c r="G25" s="209">
        <f t="shared" si="3"/>
        <v>13.5</v>
      </c>
      <c r="H25" s="212">
        <v>200</v>
      </c>
      <c r="I25" s="212">
        <v>200</v>
      </c>
      <c r="J25" s="212">
        <v>200</v>
      </c>
    </row>
    <row r="26" spans="1:10">
      <c r="A26" s="137" t="s">
        <v>397</v>
      </c>
      <c r="B26" s="138" t="s">
        <v>398</v>
      </c>
      <c r="C26" s="212">
        <f>[1]Подробна_Местни!C58</f>
        <v>0</v>
      </c>
      <c r="D26" s="212">
        <f>[1]Подробна_Местни!D58</f>
        <v>0</v>
      </c>
      <c r="E26" s="212"/>
      <c r="F26" s="164">
        <f t="shared" si="1"/>
        <v>0</v>
      </c>
      <c r="G26" s="209"/>
      <c r="H26" s="212">
        <v>0</v>
      </c>
      <c r="I26" s="212">
        <v>0</v>
      </c>
      <c r="J26" s="212">
        <v>0</v>
      </c>
    </row>
    <row r="27" spans="1:10" s="210" customFormat="1" ht="15">
      <c r="A27" s="129" t="s">
        <v>263</v>
      </c>
      <c r="B27" s="130" t="s">
        <v>399</v>
      </c>
      <c r="C27" s="134">
        <f>SUM(C28:C37)</f>
        <v>6274881</v>
      </c>
      <c r="D27" s="134">
        <f>SUM(D28:D37)</f>
        <v>6299428</v>
      </c>
      <c r="E27" s="134">
        <f>SUM(E28:E37)</f>
        <v>6533986</v>
      </c>
      <c r="F27" s="134">
        <f>SUM(F28:F37)</f>
        <v>-234558</v>
      </c>
      <c r="G27" s="214">
        <f t="shared" ref="G27:G41" si="4">E27/D27%</f>
        <v>103.72348092556975</v>
      </c>
      <c r="H27" s="134">
        <f>SUM(H28:H37)</f>
        <v>6479447</v>
      </c>
      <c r="I27" s="134">
        <f>SUM(I28:I37)</f>
        <v>6479447</v>
      </c>
      <c r="J27" s="134">
        <f>SUM(J28:J37)</f>
        <v>7591299</v>
      </c>
    </row>
    <row r="28" spans="1:10">
      <c r="A28" s="137" t="s">
        <v>400</v>
      </c>
      <c r="B28" s="138" t="s">
        <v>401</v>
      </c>
      <c r="C28" s="212">
        <f>[1]Подробна_Местни!C60</f>
        <v>120000</v>
      </c>
      <c r="D28" s="212">
        <f>[1]Подробна_Местни!D60+20000</f>
        <v>140000</v>
      </c>
      <c r="E28" s="212">
        <v>138876</v>
      </c>
      <c r="F28" s="164">
        <f t="shared" si="1"/>
        <v>1124</v>
      </c>
      <c r="G28" s="209">
        <f t="shared" si="4"/>
        <v>99.19714285714285</v>
      </c>
      <c r="H28" s="212">
        <v>0</v>
      </c>
      <c r="I28" s="212">
        <v>0</v>
      </c>
      <c r="J28" s="212">
        <f>[1]Подробна_Местни!I60</f>
        <v>0</v>
      </c>
    </row>
    <row r="29" spans="1:10" ht="16.5" customHeight="1">
      <c r="A29" s="137" t="s">
        <v>402</v>
      </c>
      <c r="B29" s="138" t="s">
        <v>403</v>
      </c>
      <c r="C29" s="212">
        <f>[1]Подробна_Местни!C61</f>
        <v>46000</v>
      </c>
      <c r="D29" s="212">
        <f>[1]Подробна_Местни!D61</f>
        <v>46000</v>
      </c>
      <c r="E29" s="212">
        <f>40426-4371</f>
        <v>36055</v>
      </c>
      <c r="F29" s="164">
        <f t="shared" si="1"/>
        <v>9945</v>
      </c>
      <c r="G29" s="209">
        <f t="shared" si="4"/>
        <v>78.380434782608702</v>
      </c>
      <c r="H29" s="212">
        <v>46200</v>
      </c>
      <c r="I29" s="212">
        <v>46200</v>
      </c>
      <c r="J29" s="212">
        <v>46200</v>
      </c>
    </row>
    <row r="30" spans="1:10" s="215" customFormat="1" ht="26.25" customHeight="1">
      <c r="A30" s="144" t="s">
        <v>404</v>
      </c>
      <c r="B30" s="154" t="s">
        <v>405</v>
      </c>
      <c r="C30" s="212">
        <f>[1]Подробна_Местни!C62</f>
        <v>180000</v>
      </c>
      <c r="D30" s="212">
        <f>[1]Подробна_Местни!D62</f>
        <v>180000</v>
      </c>
      <c r="E30" s="212">
        <f>166940+4371</f>
        <v>171311</v>
      </c>
      <c r="F30" s="164">
        <f t="shared" si="1"/>
        <v>8689</v>
      </c>
      <c r="G30" s="209">
        <f t="shared" si="4"/>
        <v>95.172777777777782</v>
      </c>
      <c r="H30" s="212">
        <v>180000</v>
      </c>
      <c r="I30" s="212">
        <v>180000</v>
      </c>
      <c r="J30" s="212">
        <v>264000</v>
      </c>
    </row>
    <row r="31" spans="1:10" ht="24.75" customHeight="1">
      <c r="A31" s="144" t="s">
        <v>406</v>
      </c>
      <c r="B31" s="138" t="s">
        <v>407</v>
      </c>
      <c r="C31" s="212">
        <f>[1]Подробна_Местни!C65</f>
        <v>674533</v>
      </c>
      <c r="D31" s="212">
        <f>[1]Подробна_Местни!D65</f>
        <v>674533</v>
      </c>
      <c r="E31" s="212">
        <v>693201</v>
      </c>
      <c r="F31" s="164">
        <f t="shared" si="1"/>
        <v>-18668</v>
      </c>
      <c r="G31" s="209">
        <f t="shared" si="4"/>
        <v>102.7675443603204</v>
      </c>
      <c r="H31" s="212">
        <v>684600</v>
      </c>
      <c r="I31" s="212">
        <v>684600</v>
      </c>
      <c r="J31" s="212">
        <v>700000</v>
      </c>
    </row>
    <row r="32" spans="1:10" ht="18.75" customHeight="1">
      <c r="A32" s="137" t="s">
        <v>408</v>
      </c>
      <c r="B32" s="138" t="s">
        <v>409</v>
      </c>
      <c r="C32" s="212">
        <f>[1]Подробна_Местни!C73</f>
        <v>4718684</v>
      </c>
      <c r="D32" s="212">
        <f>[1]Подробна_Местни!D73</f>
        <v>4718684</v>
      </c>
      <c r="E32" s="212">
        <v>5030426</v>
      </c>
      <c r="F32" s="164">
        <f t="shared" si="1"/>
        <v>-311742</v>
      </c>
      <c r="G32" s="209">
        <f t="shared" si="4"/>
        <v>106.60654538426392</v>
      </c>
      <c r="H32" s="212">
        <v>4944247</v>
      </c>
      <c r="I32" s="212">
        <v>4944247</v>
      </c>
      <c r="J32" s="295">
        <v>5892699</v>
      </c>
    </row>
    <row r="33" spans="1:10">
      <c r="A33" s="137" t="s">
        <v>410</v>
      </c>
      <c r="B33" s="138" t="s">
        <v>411</v>
      </c>
      <c r="C33" s="212">
        <f>[1]Подробна_Местни!C74</f>
        <v>50000</v>
      </c>
      <c r="D33" s="212">
        <f>[1]Подробна_Местни!D74</f>
        <v>50000</v>
      </c>
      <c r="E33" s="212">
        <v>43193</v>
      </c>
      <c r="F33" s="164">
        <f t="shared" si="1"/>
        <v>6807</v>
      </c>
      <c r="G33" s="209">
        <f t="shared" si="4"/>
        <v>86.385999999999996</v>
      </c>
      <c r="H33" s="212">
        <v>50000</v>
      </c>
      <c r="I33" s="212">
        <v>50000</v>
      </c>
      <c r="J33" s="295">
        <v>50000</v>
      </c>
    </row>
    <row r="34" spans="1:10">
      <c r="A34" s="137" t="s">
        <v>265</v>
      </c>
      <c r="B34" s="138" t="s">
        <v>412</v>
      </c>
      <c r="C34" s="212">
        <f>[1]Подробна_Местни!C75</f>
        <v>180800</v>
      </c>
      <c r="D34" s="212">
        <v>181847</v>
      </c>
      <c r="E34" s="212">
        <v>177972</v>
      </c>
      <c r="F34" s="164">
        <f t="shared" si="1"/>
        <v>3875</v>
      </c>
      <c r="G34" s="209">
        <f t="shared" si="4"/>
        <v>97.869087749591685</v>
      </c>
      <c r="H34" s="212">
        <v>172000</v>
      </c>
      <c r="I34" s="212">
        <v>172000</v>
      </c>
      <c r="J34" s="295">
        <v>175000</v>
      </c>
    </row>
    <row r="35" spans="1:10">
      <c r="A35" s="137" t="s">
        <v>413</v>
      </c>
      <c r="B35" s="138" t="s">
        <v>414</v>
      </c>
      <c r="C35" s="212">
        <f>[1]Подробна_Местни!C80</f>
        <v>19000</v>
      </c>
      <c r="D35" s="212">
        <f>[1]Подробна_Местни!D80</f>
        <v>19000</v>
      </c>
      <c r="E35" s="212">
        <f>21741+630</f>
        <v>22371</v>
      </c>
      <c r="F35" s="164">
        <f t="shared" si="1"/>
        <v>-3371</v>
      </c>
      <c r="G35" s="209">
        <f t="shared" si="4"/>
        <v>117.7421052631579</v>
      </c>
      <c r="H35" s="212">
        <v>20000</v>
      </c>
      <c r="I35" s="212">
        <v>20000</v>
      </c>
      <c r="J35" s="295">
        <v>20000</v>
      </c>
    </row>
    <row r="36" spans="1:10">
      <c r="A36" s="137" t="s">
        <v>415</v>
      </c>
      <c r="B36" s="138" t="s">
        <v>416</v>
      </c>
      <c r="C36" s="212">
        <f>[1]Подробна_Местни!C81</f>
        <v>1500</v>
      </c>
      <c r="D36" s="212">
        <f>[1]Подробна_Местни!D81+3500</f>
        <v>5000</v>
      </c>
      <c r="E36" s="212">
        <f>5139-720</f>
        <v>4419</v>
      </c>
      <c r="F36" s="164">
        <f t="shared" si="1"/>
        <v>581</v>
      </c>
      <c r="G36" s="209">
        <f t="shared" si="4"/>
        <v>88.38</v>
      </c>
      <c r="H36" s="212">
        <v>5000</v>
      </c>
      <c r="I36" s="212">
        <v>5000</v>
      </c>
      <c r="J36" s="295">
        <v>8000</v>
      </c>
    </row>
    <row r="37" spans="1:10">
      <c r="A37" s="137" t="s">
        <v>417</v>
      </c>
      <c r="B37" s="138" t="s">
        <v>418</v>
      </c>
      <c r="C37" s="212">
        <f>[1]Подробна_Местни!C82</f>
        <v>284364</v>
      </c>
      <c r="D37" s="212">
        <f>[1]Подробна_Местни!D82</f>
        <v>284364</v>
      </c>
      <c r="E37" s="212">
        <f>216072+90</f>
        <v>216162</v>
      </c>
      <c r="F37" s="164">
        <f t="shared" si="1"/>
        <v>68202</v>
      </c>
      <c r="G37" s="209">
        <f t="shared" si="4"/>
        <v>76.01595138625143</v>
      </c>
      <c r="H37" s="212">
        <v>377400</v>
      </c>
      <c r="I37" s="212">
        <v>377400</v>
      </c>
      <c r="J37" s="295">
        <v>435400</v>
      </c>
    </row>
    <row r="38" spans="1:10" s="210" customFormat="1" ht="15">
      <c r="A38" s="143" t="s">
        <v>267</v>
      </c>
      <c r="B38" s="130" t="s">
        <v>419</v>
      </c>
      <c r="C38" s="134">
        <f>SUM(C39,C40)</f>
        <v>665000</v>
      </c>
      <c r="D38" s="134">
        <f>SUM(D39,D40)</f>
        <v>665002</v>
      </c>
      <c r="E38" s="134">
        <f>SUM(E39,E40)</f>
        <v>457219</v>
      </c>
      <c r="F38" s="134">
        <f>SUM(F39,F40)</f>
        <v>207783</v>
      </c>
      <c r="G38" s="216">
        <f t="shared" si="4"/>
        <v>68.754530061563713</v>
      </c>
      <c r="H38" s="134">
        <f>SUM(H39,H40)</f>
        <v>686000</v>
      </c>
      <c r="I38" s="134">
        <f>SUM(I39,I40)</f>
        <v>686000</v>
      </c>
      <c r="J38" s="134">
        <f>SUM(J39,J40)</f>
        <v>656000</v>
      </c>
    </row>
    <row r="39" spans="1:10" ht="25.5">
      <c r="A39" s="144" t="s">
        <v>269</v>
      </c>
      <c r="B39" s="138" t="s">
        <v>420</v>
      </c>
      <c r="C39" s="212">
        <f>[1]Подробна_Местни!C90</f>
        <v>350000</v>
      </c>
      <c r="D39" s="212">
        <f>[1]Подробна_Местни!D90+2</f>
        <v>350002</v>
      </c>
      <c r="E39" s="212">
        <v>237235</v>
      </c>
      <c r="F39" s="164">
        <f t="shared" si="1"/>
        <v>112767</v>
      </c>
      <c r="G39" s="209">
        <f t="shared" si="4"/>
        <v>67.781041251192846</v>
      </c>
      <c r="H39" s="212">
        <v>366000</v>
      </c>
      <c r="I39" s="212">
        <v>366000</v>
      </c>
      <c r="J39" s="212">
        <v>361000</v>
      </c>
    </row>
    <row r="40" spans="1:10" ht="25.5">
      <c r="A40" s="144" t="s">
        <v>421</v>
      </c>
      <c r="B40" s="138" t="s">
        <v>422</v>
      </c>
      <c r="C40" s="212">
        <f>[1]Подробна_Местни!C98</f>
        <v>315000</v>
      </c>
      <c r="D40" s="212">
        <f>[1]Подробна_Местни!D98</f>
        <v>315000</v>
      </c>
      <c r="E40" s="212">
        <v>219984</v>
      </c>
      <c r="F40" s="164">
        <f t="shared" si="1"/>
        <v>95016</v>
      </c>
      <c r="G40" s="209">
        <f t="shared" si="4"/>
        <v>69.836190476190481</v>
      </c>
      <c r="H40" s="212">
        <v>320000</v>
      </c>
      <c r="I40" s="212">
        <v>320000</v>
      </c>
      <c r="J40" s="212">
        <v>295000</v>
      </c>
    </row>
    <row r="41" spans="1:10" s="210" customFormat="1" ht="19.5" customHeight="1">
      <c r="A41" s="129" t="s">
        <v>271</v>
      </c>
      <c r="B41" s="130" t="s">
        <v>423</v>
      </c>
      <c r="C41" s="134">
        <f>SUM(C42:C46)</f>
        <v>833045</v>
      </c>
      <c r="D41" s="134">
        <f>SUM(D42:D46)</f>
        <v>859654</v>
      </c>
      <c r="E41" s="134">
        <f>SUM(E42:E46)</f>
        <v>842655</v>
      </c>
      <c r="F41" s="134">
        <f>SUM(F42:F46)</f>
        <v>16999</v>
      </c>
      <c r="G41" s="214">
        <f t="shared" si="4"/>
        <v>98.022576524973985</v>
      </c>
      <c r="H41" s="134">
        <f>SUM(H42:H46)</f>
        <v>839300</v>
      </c>
      <c r="I41" s="134">
        <f>SUM(I42:I46)</f>
        <v>839300</v>
      </c>
      <c r="J41" s="134">
        <f>SUM(J42:J46)</f>
        <v>1024570</v>
      </c>
    </row>
    <row r="42" spans="1:10" s="210" customFormat="1" ht="24.75" customHeight="1">
      <c r="A42" s="153" t="s">
        <v>424</v>
      </c>
      <c r="B42" s="138" t="s">
        <v>425</v>
      </c>
      <c r="C42" s="217">
        <f>[1]Подробна_Местни!C105</f>
        <v>0</v>
      </c>
      <c r="D42" s="217">
        <f>[1]Подробна_Местни!D105</f>
        <v>0</v>
      </c>
      <c r="E42" s="217"/>
      <c r="F42" s="164">
        <f t="shared" si="1"/>
        <v>0</v>
      </c>
      <c r="G42" s="218"/>
      <c r="H42" s="217">
        <v>0</v>
      </c>
      <c r="I42" s="217">
        <v>0</v>
      </c>
      <c r="J42" s="217">
        <f>[1]Подробна_Местни!I105</f>
        <v>0</v>
      </c>
    </row>
    <row r="43" spans="1:10" ht="15.75" customHeight="1">
      <c r="A43" s="137" t="s">
        <v>426</v>
      </c>
      <c r="B43" s="138" t="s">
        <v>427</v>
      </c>
      <c r="C43" s="212">
        <f>[1]Подробна_Местни!C106</f>
        <v>2000</v>
      </c>
      <c r="D43" s="212">
        <v>24658</v>
      </c>
      <c r="E43" s="212">
        <v>22850</v>
      </c>
      <c r="F43" s="164">
        <f t="shared" si="1"/>
        <v>1808</v>
      </c>
      <c r="G43" s="209">
        <f>E43/D43%</f>
        <v>92.667694054667848</v>
      </c>
      <c r="H43" s="212">
        <v>2000</v>
      </c>
      <c r="I43" s="212">
        <v>2000</v>
      </c>
      <c r="J43" s="212">
        <v>6000</v>
      </c>
    </row>
    <row r="44" spans="1:10" ht="15.75" customHeight="1">
      <c r="A44" s="137" t="s">
        <v>428</v>
      </c>
      <c r="B44" s="138" t="s">
        <v>429</v>
      </c>
      <c r="C44" s="212">
        <f>[1]Подробна_Местни!C107</f>
        <v>50000</v>
      </c>
      <c r="D44" s="212">
        <v>52134</v>
      </c>
      <c r="E44" s="212">
        <v>50884</v>
      </c>
      <c r="F44" s="164">
        <f t="shared" si="1"/>
        <v>1250</v>
      </c>
      <c r="G44" s="218">
        <f>E44/D44%</f>
        <v>97.602332450991668</v>
      </c>
      <c r="H44" s="212">
        <v>50000</v>
      </c>
      <c r="I44" s="212">
        <v>50000</v>
      </c>
      <c r="J44" s="212">
        <v>50000</v>
      </c>
    </row>
    <row r="45" spans="1:10" ht="15.75" customHeight="1">
      <c r="A45" s="137" t="s">
        <v>430</v>
      </c>
      <c r="B45" s="138" t="s">
        <v>431</v>
      </c>
      <c r="C45" s="212">
        <f>[1]Подробна_Местни!C108</f>
        <v>0</v>
      </c>
      <c r="D45" s="212">
        <f>[1]Подробна_Местни!D108</f>
        <v>0</v>
      </c>
      <c r="E45" s="212"/>
      <c r="F45" s="164">
        <f t="shared" si="1"/>
        <v>0</v>
      </c>
      <c r="G45" s="218"/>
      <c r="H45" s="212">
        <v>0</v>
      </c>
      <c r="I45" s="212">
        <v>0</v>
      </c>
      <c r="J45" s="212">
        <v>0</v>
      </c>
    </row>
    <row r="46" spans="1:10">
      <c r="A46" s="137" t="s">
        <v>279</v>
      </c>
      <c r="B46" s="219" t="s">
        <v>432</v>
      </c>
      <c r="C46" s="212">
        <f>[1]Подробна_Местни!C109</f>
        <v>781045</v>
      </c>
      <c r="D46" s="212">
        <f>[1]Подробна_Местни!D109+28+1473+303</f>
        <v>782862</v>
      </c>
      <c r="E46" s="212">
        <f>768921+1-1</f>
        <v>768921</v>
      </c>
      <c r="F46" s="164">
        <f t="shared" si="1"/>
        <v>13941</v>
      </c>
      <c r="G46" s="218">
        <f t="shared" ref="G46:G56" si="5">E46/D46%</f>
        <v>98.219226377062625</v>
      </c>
      <c r="H46" s="212">
        <v>787300</v>
      </c>
      <c r="I46" s="212">
        <v>787300</v>
      </c>
      <c r="J46" s="212">
        <v>968570</v>
      </c>
    </row>
    <row r="47" spans="1:10" s="210" customFormat="1" ht="15">
      <c r="A47" s="129" t="s">
        <v>281</v>
      </c>
      <c r="B47" s="130" t="s">
        <v>433</v>
      </c>
      <c r="C47" s="134">
        <f>SUM(C48,C49)</f>
        <v>-935000</v>
      </c>
      <c r="D47" s="134">
        <f>SUM(D48,D49)</f>
        <v>-1081885</v>
      </c>
      <c r="E47" s="134">
        <f>SUM(E48,E49)</f>
        <v>-905350</v>
      </c>
      <c r="F47" s="164">
        <f t="shared" si="1"/>
        <v>-176535</v>
      </c>
      <c r="G47" s="208">
        <f t="shared" si="5"/>
        <v>83.682646492002377</v>
      </c>
      <c r="H47" s="134">
        <f>SUM(H48,H49)</f>
        <v>-635000</v>
      </c>
      <c r="I47" s="134">
        <f>SUM(I48,I49)</f>
        <v>-635000</v>
      </c>
      <c r="J47" s="134">
        <f>SUM(J48,J49)</f>
        <v>-565000</v>
      </c>
    </row>
    <row r="48" spans="1:10">
      <c r="A48" s="137" t="s">
        <v>434</v>
      </c>
      <c r="B48" s="138" t="s">
        <v>435</v>
      </c>
      <c r="C48" s="212">
        <f>[1]Подробна_Местни!C137</f>
        <v>-850000</v>
      </c>
      <c r="D48" s="212">
        <f>[1]Подробна_Местни!D137-145972</f>
        <v>-995972</v>
      </c>
      <c r="E48" s="212">
        <v>-807990</v>
      </c>
      <c r="F48" s="164">
        <f t="shared" si="1"/>
        <v>-187982</v>
      </c>
      <c r="G48" s="209">
        <f t="shared" si="5"/>
        <v>81.125774620170048</v>
      </c>
      <c r="H48" s="212">
        <v>-550000</v>
      </c>
      <c r="I48" s="212">
        <v>-550000</v>
      </c>
      <c r="J48" s="212">
        <v>-450000</v>
      </c>
    </row>
    <row r="49" spans="1:10" ht="29.25" customHeight="1">
      <c r="A49" s="150" t="s">
        <v>283</v>
      </c>
      <c r="B49" s="154" t="s">
        <v>436</v>
      </c>
      <c r="C49" s="212">
        <f>[1]Подробна_Местни!C141</f>
        <v>-85000</v>
      </c>
      <c r="D49" s="212">
        <f>[1]Подробна_Местни!D141-141-71-646</f>
        <v>-85913</v>
      </c>
      <c r="E49" s="212">
        <v>-97360</v>
      </c>
      <c r="F49" s="164">
        <f t="shared" si="1"/>
        <v>11447</v>
      </c>
      <c r="G49" s="209">
        <f t="shared" si="5"/>
        <v>113.32394398985019</v>
      </c>
      <c r="H49" s="212">
        <v>-85000</v>
      </c>
      <c r="I49" s="212">
        <v>-85000</v>
      </c>
      <c r="J49" s="212">
        <v>-115000</v>
      </c>
    </row>
    <row r="50" spans="1:10" s="210" customFormat="1" ht="17.25" customHeight="1">
      <c r="A50" s="129" t="s">
        <v>437</v>
      </c>
      <c r="B50" s="130" t="s">
        <v>438</v>
      </c>
      <c r="C50" s="159">
        <f>[1]Подробна_Местни!C142</f>
        <v>274130</v>
      </c>
      <c r="D50" s="159">
        <f>[1]Подробна_Местни!D142</f>
        <v>274130</v>
      </c>
      <c r="E50" s="159">
        <v>203108</v>
      </c>
      <c r="F50" s="159">
        <f t="shared" si="1"/>
        <v>71022</v>
      </c>
      <c r="G50" s="208">
        <f t="shared" si="5"/>
        <v>74.09185422974501</v>
      </c>
      <c r="H50" s="159">
        <v>270000</v>
      </c>
      <c r="I50" s="159">
        <v>270000</v>
      </c>
      <c r="J50" s="159">
        <v>280000</v>
      </c>
    </row>
    <row r="51" spans="1:10" s="210" customFormat="1" ht="17.25" customHeight="1">
      <c r="A51" s="151" t="s">
        <v>285</v>
      </c>
      <c r="B51" s="130" t="s">
        <v>439</v>
      </c>
      <c r="C51" s="159">
        <f>SUM(C52:C53)</f>
        <v>0</v>
      </c>
      <c r="D51" s="159">
        <f>SUM(D52:D53)</f>
        <v>59656</v>
      </c>
      <c r="E51" s="159">
        <f>SUM(E52:E53)</f>
        <v>59656</v>
      </c>
      <c r="F51" s="159">
        <f t="shared" si="1"/>
        <v>0</v>
      </c>
      <c r="G51" s="208">
        <f t="shared" si="5"/>
        <v>100.00000000000001</v>
      </c>
      <c r="H51" s="159">
        <f>SUM(H52:H53)</f>
        <v>52500</v>
      </c>
      <c r="I51" s="159">
        <f>SUM(I52:I53)</f>
        <v>52791</v>
      </c>
      <c r="J51" s="159">
        <f>SUM(J52:J53)</f>
        <v>0</v>
      </c>
    </row>
    <row r="52" spans="1:10" ht="15" customHeight="1">
      <c r="A52" s="153" t="s">
        <v>287</v>
      </c>
      <c r="B52" s="138" t="s">
        <v>440</v>
      </c>
      <c r="C52" s="212"/>
      <c r="D52" s="212">
        <f>[1]Подробна_Местни!D143+7141+15000+315</f>
        <v>41656</v>
      </c>
      <c r="E52" s="212">
        <v>41656</v>
      </c>
      <c r="F52" s="164">
        <f t="shared" si="1"/>
        <v>0</v>
      </c>
      <c r="G52" s="209">
        <f t="shared" si="5"/>
        <v>100</v>
      </c>
      <c r="H52" s="212">
        <f>2500+5000+5000</f>
        <v>12500</v>
      </c>
      <c r="I52" s="212">
        <f>2500+5000+5000+291</f>
        <v>12791</v>
      </c>
      <c r="J52" s="212">
        <f>[1]Подробна_Местни!I144</f>
        <v>0</v>
      </c>
    </row>
    <row r="53" spans="1:10" ht="15" customHeight="1">
      <c r="A53" s="153" t="s">
        <v>441</v>
      </c>
      <c r="B53" s="138" t="s">
        <v>442</v>
      </c>
      <c r="C53" s="212"/>
      <c r="D53" s="212">
        <v>18000</v>
      </c>
      <c r="E53" s="212">
        <v>18000</v>
      </c>
      <c r="F53" s="164">
        <f t="shared" si="1"/>
        <v>0</v>
      </c>
      <c r="G53" s="209">
        <f t="shared" si="5"/>
        <v>100</v>
      </c>
      <c r="H53" s="212">
        <f>20000+20000</f>
        <v>40000</v>
      </c>
      <c r="I53" s="212">
        <f>20000+20000</f>
        <v>40000</v>
      </c>
      <c r="J53" s="212">
        <f>[1]Подробна_Местни!I154</f>
        <v>0</v>
      </c>
    </row>
    <row r="54" spans="1:10" ht="18" customHeight="1">
      <c r="A54" s="129" t="s">
        <v>443</v>
      </c>
      <c r="B54" s="220" t="s">
        <v>444</v>
      </c>
      <c r="C54" s="159">
        <v>0</v>
      </c>
      <c r="D54" s="159">
        <f>SUM(D55:D56)</f>
        <v>5714</v>
      </c>
      <c r="E54" s="159">
        <f>SUM(E55:E56)</f>
        <v>5714</v>
      </c>
      <c r="F54" s="159">
        <f t="shared" si="1"/>
        <v>0</v>
      </c>
      <c r="G54" s="208">
        <f t="shared" si="5"/>
        <v>100</v>
      </c>
      <c r="H54" s="159">
        <v>0</v>
      </c>
      <c r="I54" s="159">
        <v>0</v>
      </c>
      <c r="J54" s="159">
        <v>0</v>
      </c>
    </row>
    <row r="55" spans="1:10">
      <c r="A55" s="221" t="s">
        <v>445</v>
      </c>
      <c r="B55" s="222" t="s">
        <v>446</v>
      </c>
      <c r="C55" s="223">
        <f>[1]Подробна_Местни!C156</f>
        <v>0</v>
      </c>
      <c r="D55" s="212">
        <v>3914</v>
      </c>
      <c r="E55" s="212">
        <v>3914</v>
      </c>
      <c r="F55" s="164">
        <f t="shared" si="1"/>
        <v>0</v>
      </c>
      <c r="G55" s="209">
        <f t="shared" si="5"/>
        <v>100</v>
      </c>
      <c r="H55" s="223">
        <v>0</v>
      </c>
      <c r="I55" s="223">
        <v>0</v>
      </c>
      <c r="J55" s="223">
        <f>[1]Подробна_Местни!I156</f>
        <v>0</v>
      </c>
    </row>
    <row r="56" spans="1:10">
      <c r="A56" s="221" t="s">
        <v>447</v>
      </c>
      <c r="B56" s="222" t="s">
        <v>448</v>
      </c>
      <c r="C56" s="223"/>
      <c r="D56" s="212">
        <v>1800</v>
      </c>
      <c r="E56" s="212">
        <v>1800</v>
      </c>
      <c r="F56" s="164">
        <f t="shared" si="1"/>
        <v>0</v>
      </c>
      <c r="G56" s="209">
        <f t="shared" si="5"/>
        <v>100</v>
      </c>
      <c r="H56" s="223"/>
      <c r="I56" s="223"/>
      <c r="J56" s="223"/>
    </row>
    <row r="57" spans="1:10" s="210" customFormat="1" ht="30">
      <c r="A57" s="207" t="s">
        <v>449</v>
      </c>
      <c r="B57" s="130" t="s">
        <v>450</v>
      </c>
      <c r="C57" s="134">
        <f>SUM(C58:C63)</f>
        <v>6106650</v>
      </c>
      <c r="D57" s="134">
        <f>SUM(D58:D63)</f>
        <v>6106650</v>
      </c>
      <c r="E57" s="134">
        <f>SUM(E58:E63)</f>
        <v>3496909</v>
      </c>
      <c r="F57" s="134">
        <f>SUM(F58:F63)</f>
        <v>2609741</v>
      </c>
      <c r="G57" s="214">
        <f>E57/D57%</f>
        <v>57.263949956195297</v>
      </c>
      <c r="H57" s="134">
        <f>SUM(H58:H63)</f>
        <v>3881200</v>
      </c>
      <c r="I57" s="134">
        <f>SUM(I58:I63)</f>
        <v>3881200</v>
      </c>
      <c r="J57" s="134">
        <f>SUM(J58:J63)</f>
        <v>3630000</v>
      </c>
    </row>
    <row r="58" spans="1:10">
      <c r="A58" s="137" t="s">
        <v>451</v>
      </c>
      <c r="B58" s="138" t="s">
        <v>452</v>
      </c>
      <c r="C58" s="212">
        <f>[1]Подробна_Местни!C158</f>
        <v>830150</v>
      </c>
      <c r="D58" s="212">
        <f>[1]Подробна_Местни!D158+272000</f>
        <v>1102150</v>
      </c>
      <c r="E58" s="212">
        <f>1173291-78380+21680</f>
        <v>1116591</v>
      </c>
      <c r="F58" s="164">
        <f t="shared" si="1"/>
        <v>-14441</v>
      </c>
      <c r="G58" s="218">
        <f>E58/D58%</f>
        <v>101.31025722451572</v>
      </c>
      <c r="H58" s="212">
        <v>800000</v>
      </c>
      <c r="I58" s="212">
        <v>800000</v>
      </c>
      <c r="J58" s="212">
        <v>1300000</v>
      </c>
    </row>
    <row r="59" spans="1:10" ht="18" customHeight="1">
      <c r="A59" s="144" t="s">
        <v>453</v>
      </c>
      <c r="B59" s="138" t="s">
        <v>454</v>
      </c>
      <c r="C59" s="212">
        <f>[1]Подробна_Местни!C159</f>
        <v>0</v>
      </c>
      <c r="D59" s="212">
        <f>[1]Подробна_Местни!D159</f>
        <v>0</v>
      </c>
      <c r="E59" s="212">
        <f>42037+13920</f>
        <v>55957</v>
      </c>
      <c r="F59" s="164">
        <f t="shared" si="1"/>
        <v>-55957</v>
      </c>
      <c r="G59" s="218"/>
      <c r="H59" s="212">
        <v>0</v>
      </c>
      <c r="I59" s="212">
        <v>0</v>
      </c>
      <c r="J59" s="212">
        <v>0</v>
      </c>
    </row>
    <row r="60" spans="1:10">
      <c r="A60" s="137" t="s">
        <v>455</v>
      </c>
      <c r="B60" s="138" t="s">
        <v>456</v>
      </c>
      <c r="C60" s="212">
        <f>[1]Подробна_Местни!C160</f>
        <v>0</v>
      </c>
      <c r="D60" s="212">
        <f>[1]Подробна_Местни!D160</f>
        <v>0</v>
      </c>
      <c r="E60" s="212"/>
      <c r="F60" s="164">
        <f t="shared" si="1"/>
        <v>0</v>
      </c>
      <c r="G60" s="218"/>
      <c r="H60" s="212">
        <v>0</v>
      </c>
      <c r="I60" s="212">
        <v>0</v>
      </c>
      <c r="J60" s="212">
        <v>50000</v>
      </c>
    </row>
    <row r="61" spans="1:10">
      <c r="A61" s="137" t="s">
        <v>457</v>
      </c>
      <c r="B61" s="138" t="s">
        <v>458</v>
      </c>
      <c r="C61" s="212">
        <f>[1]Подробна_Местни!C161</f>
        <v>0</v>
      </c>
      <c r="D61" s="212">
        <f>[1]Подробна_Местни!D161</f>
        <v>0</v>
      </c>
      <c r="E61" s="212"/>
      <c r="F61" s="164">
        <f t="shared" si="1"/>
        <v>0</v>
      </c>
      <c r="G61" s="218"/>
      <c r="H61" s="212">
        <v>0</v>
      </c>
      <c r="I61" s="212">
        <v>0</v>
      </c>
      <c r="J61" s="212">
        <v>0</v>
      </c>
    </row>
    <row r="62" spans="1:10" ht="25.5">
      <c r="A62" s="144" t="s">
        <v>459</v>
      </c>
      <c r="B62" s="138" t="s">
        <v>460</v>
      </c>
      <c r="C62" s="212">
        <f>[1]Подробна_Местни!C162</f>
        <v>30000</v>
      </c>
      <c r="D62" s="212">
        <f>[1]Подробна_Местни!D162</f>
        <v>30000</v>
      </c>
      <c r="E62" s="212">
        <f>4564+196</f>
        <v>4760</v>
      </c>
      <c r="F62" s="164">
        <f t="shared" si="1"/>
        <v>25240</v>
      </c>
      <c r="G62" s="209">
        <f>E62/D62%</f>
        <v>15.866666666666667</v>
      </c>
      <c r="H62" s="212">
        <v>30000</v>
      </c>
      <c r="I62" s="212">
        <v>30000</v>
      </c>
      <c r="J62" s="212">
        <v>4000</v>
      </c>
    </row>
    <row r="63" spans="1:10">
      <c r="A63" s="137" t="s">
        <v>461</v>
      </c>
      <c r="B63" s="138" t="s">
        <v>462</v>
      </c>
      <c r="C63" s="212">
        <f>[1]Подробна_Местни!C163</f>
        <v>5246500</v>
      </c>
      <c r="D63" s="212">
        <f>[1]Подробна_Местни!D163-272000</f>
        <v>4974500</v>
      </c>
      <c r="E63" s="212">
        <f>2355396-35795</f>
        <v>2319601</v>
      </c>
      <c r="F63" s="164">
        <f t="shared" si="1"/>
        <v>2654899</v>
      </c>
      <c r="G63" s="209">
        <f>E63/D63%</f>
        <v>46.629832143934067</v>
      </c>
      <c r="H63" s="212">
        <v>3051200</v>
      </c>
      <c r="I63" s="212">
        <v>3051200</v>
      </c>
      <c r="J63" s="212">
        <v>2276000</v>
      </c>
    </row>
    <row r="64" spans="1:10" s="213" customFormat="1" ht="15.75">
      <c r="A64" s="157" t="s">
        <v>463</v>
      </c>
      <c r="B64" s="189"/>
      <c r="C64" s="180">
        <f>SUM(C19,C27,C38,C41,C47,C50,C51,C54,C57)</f>
        <v>15043181</v>
      </c>
      <c r="D64" s="180">
        <f>SUM(D19,D27,D38,D41,D47,D50,D51,D54,D57)</f>
        <v>15053028</v>
      </c>
      <c r="E64" s="180">
        <f>SUM(E19,E27,E38,E41,E47,E50,E51,E54,E57)</f>
        <v>12443716</v>
      </c>
      <c r="F64" s="180">
        <f>SUM(F19,F27,F38,F41,F47,F50,F51,F54,F57)</f>
        <v>2609312</v>
      </c>
      <c r="G64" s="208">
        <f>E64/D64%</f>
        <v>82.665866296136571</v>
      </c>
      <c r="H64" s="180">
        <f>SUM(H19,H27,H38,H41,H47,H50,H51,H54,H57)</f>
        <v>13495137</v>
      </c>
      <c r="I64" s="180">
        <f>SUM(I19,I27,I38,I41,I47,I50,I51,I54,I57)</f>
        <v>13495428</v>
      </c>
      <c r="J64" s="180">
        <f>SUM(J19,J27,J38,J41,J47,J50,J51,J54,J57)</f>
        <v>14631529</v>
      </c>
    </row>
    <row r="65" spans="1:10" s="210" customFormat="1" ht="31.5">
      <c r="A65" s="155" t="s">
        <v>289</v>
      </c>
      <c r="B65" s="224"/>
      <c r="C65" s="180">
        <f>SUM(C17,C64)</f>
        <v>20740932</v>
      </c>
      <c r="D65" s="180">
        <f>SUM(D17,D64)</f>
        <v>20750779</v>
      </c>
      <c r="E65" s="180">
        <f>SUM(E17,E64)</f>
        <v>18234160</v>
      </c>
      <c r="F65" s="180">
        <f>SUM(F17,F64)</f>
        <v>2516619</v>
      </c>
      <c r="G65" s="208">
        <f>E65/D65%</f>
        <v>87.872170967653787</v>
      </c>
      <c r="H65" s="180">
        <f>SUM(H17,H64)</f>
        <v>19423575</v>
      </c>
      <c r="I65" s="180">
        <f>SUM(I17,I64)</f>
        <v>19423866</v>
      </c>
      <c r="J65" s="180">
        <f>SUM(J17,J64)</f>
        <v>21276379</v>
      </c>
    </row>
    <row r="66" spans="1:10" s="225" customFormat="1" ht="21" customHeight="1">
      <c r="A66" s="355" t="s">
        <v>290</v>
      </c>
      <c r="B66" s="356"/>
      <c r="C66" s="159"/>
      <c r="D66" s="159"/>
      <c r="E66" s="159"/>
      <c r="F66" s="164">
        <f t="shared" si="1"/>
        <v>0</v>
      </c>
      <c r="G66" s="208"/>
      <c r="H66" s="159"/>
      <c r="I66" s="159"/>
      <c r="J66" s="159"/>
    </row>
    <row r="67" spans="1:10" s="225" customFormat="1" ht="15.75" customHeight="1">
      <c r="A67" s="160" t="s">
        <v>291</v>
      </c>
      <c r="B67" s="131"/>
      <c r="C67" s="159"/>
      <c r="D67" s="159"/>
      <c r="E67" s="159"/>
      <c r="F67" s="164">
        <f t="shared" si="1"/>
        <v>0</v>
      </c>
      <c r="G67" s="208"/>
      <c r="H67" s="159"/>
      <c r="I67" s="159"/>
      <c r="J67" s="159"/>
    </row>
    <row r="68" spans="1:10" s="210" customFormat="1" ht="30" customHeight="1">
      <c r="A68" s="161" t="s">
        <v>292</v>
      </c>
      <c r="B68" s="131" t="s">
        <v>464</v>
      </c>
      <c r="C68" s="134">
        <f>SUM(C69,C75)</f>
        <v>7544000</v>
      </c>
      <c r="D68" s="134">
        <f>SUM(D69,D75)</f>
        <v>8172956</v>
      </c>
      <c r="E68" s="134">
        <f>SUM(E69,E75)</f>
        <v>8172955.75</v>
      </c>
      <c r="F68" s="134">
        <f>SUM(F69,F75)</f>
        <v>0.25</v>
      </c>
      <c r="G68" s="208">
        <f t="shared" ref="G68:G73" si="6">E68/D68%</f>
        <v>99.999996941131215</v>
      </c>
      <c r="H68" s="134">
        <f>SUM(H69,H75)</f>
        <v>9310291</v>
      </c>
      <c r="I68" s="134">
        <f>SUM(I69,I75)</f>
        <v>13025533</v>
      </c>
      <c r="J68" s="134">
        <f>SUM(J69,J75)</f>
        <v>9449200</v>
      </c>
    </row>
    <row r="69" spans="1:10" ht="20.25" customHeight="1">
      <c r="A69" s="226" t="s">
        <v>465</v>
      </c>
      <c r="B69" s="142" t="s">
        <v>295</v>
      </c>
      <c r="C69" s="164">
        <f>SUM(C70,C73,C74)</f>
        <v>7544000</v>
      </c>
      <c r="D69" s="164">
        <f>SUM(D70,D73,D74)</f>
        <v>8247521</v>
      </c>
      <c r="E69" s="164">
        <f>SUM(E70,E73,E74)</f>
        <v>8247520.75</v>
      </c>
      <c r="F69" s="164">
        <f>SUM(F70,F73,F74)</f>
        <v>0.25</v>
      </c>
      <c r="G69" s="164"/>
      <c r="H69" s="164">
        <f>SUM(H70,H73,H74)</f>
        <v>9354400</v>
      </c>
      <c r="I69" s="164">
        <f>SUM(I70,I73,I74)</f>
        <v>13069642</v>
      </c>
      <c r="J69" s="164">
        <f>SUM(J70,J73,J74)</f>
        <v>9449200</v>
      </c>
    </row>
    <row r="70" spans="1:10" ht="31.5" customHeight="1">
      <c r="A70" s="227" t="s">
        <v>466</v>
      </c>
      <c r="B70" s="228" t="s">
        <v>467</v>
      </c>
      <c r="C70" s="212">
        <f>SUM(C71:C72)</f>
        <v>5604800</v>
      </c>
      <c r="D70" s="212">
        <f>SUM(D71:D72)</f>
        <v>5604800</v>
      </c>
      <c r="E70" s="212">
        <f>SUM(E71:E72)</f>
        <v>5604799.75</v>
      </c>
      <c r="F70" s="212">
        <f>SUM(F71:F72)</f>
        <v>0.25</v>
      </c>
      <c r="G70" s="212"/>
      <c r="H70" s="212">
        <f>SUM(H71:H72)</f>
        <v>6360100</v>
      </c>
      <c r="I70" s="212">
        <f>SUM(I71:I72)</f>
        <v>6360100</v>
      </c>
      <c r="J70" s="212">
        <f>SUM(J71:J72)</f>
        <v>6360300</v>
      </c>
    </row>
    <row r="71" spans="1:10" ht="14.25" customHeight="1">
      <c r="A71" s="221" t="s">
        <v>468</v>
      </c>
      <c r="B71" s="228" t="s">
        <v>467</v>
      </c>
      <c r="C71" s="212">
        <f>[1]Подробна_Местни!C171</f>
        <v>5267100</v>
      </c>
      <c r="D71" s="212">
        <f>[1]Подробна_Местни!D171</f>
        <v>5267100</v>
      </c>
      <c r="E71" s="212">
        <f>2713172+319222+319222+319222+319222+319260+319259+319259+1+319261</f>
        <v>5267100</v>
      </c>
      <c r="F71" s="164">
        <f t="shared" si="1"/>
        <v>0</v>
      </c>
      <c r="G71" s="209">
        <f t="shared" si="6"/>
        <v>100</v>
      </c>
      <c r="H71" s="212">
        <v>6022200</v>
      </c>
      <c r="I71" s="212">
        <v>6022200</v>
      </c>
      <c r="J71" s="212">
        <v>6022200</v>
      </c>
    </row>
    <row r="72" spans="1:10" ht="16.5" customHeight="1">
      <c r="A72" s="221" t="s">
        <v>469</v>
      </c>
      <c r="B72" s="228" t="s">
        <v>467</v>
      </c>
      <c r="C72" s="212">
        <f>[1]Подробна_Местни!C172</f>
        <v>337700</v>
      </c>
      <c r="D72" s="212">
        <f>[1]Подробна_Местни!D172</f>
        <v>337700</v>
      </c>
      <c r="E72" s="212">
        <f>253275+21106.25+21106.25+21106.25+21106</f>
        <v>337699.75</v>
      </c>
      <c r="F72" s="164">
        <f t="shared" si="1"/>
        <v>0.25</v>
      </c>
      <c r="G72" s="209">
        <f t="shared" si="6"/>
        <v>99.999925969795683</v>
      </c>
      <c r="H72" s="212">
        <v>337900</v>
      </c>
      <c r="I72" s="212">
        <v>337900</v>
      </c>
      <c r="J72" s="212">
        <v>338100</v>
      </c>
    </row>
    <row r="73" spans="1:10" ht="24.75" customHeight="1">
      <c r="A73" s="181" t="s">
        <v>470</v>
      </c>
      <c r="B73" s="228" t="s">
        <v>299</v>
      </c>
      <c r="C73" s="212">
        <f>[1]Подробна_Местни!C173</f>
        <v>1939200</v>
      </c>
      <c r="D73" s="212">
        <f>[1]Подробна_Местни!D173</f>
        <v>2611400</v>
      </c>
      <c r="E73" s="212">
        <f>195000+256729+78881+86434+321439-33745+140426+1566236</f>
        <v>2611400</v>
      </c>
      <c r="F73" s="164">
        <f t="shared" ref="F73:F120" si="7">D73-E73</f>
        <v>0</v>
      </c>
      <c r="G73" s="209">
        <f t="shared" si="6"/>
        <v>100</v>
      </c>
      <c r="H73" s="212">
        <v>2814900</v>
      </c>
      <c r="I73" s="212">
        <v>2814900</v>
      </c>
      <c r="J73" s="212">
        <v>2873600</v>
      </c>
    </row>
    <row r="74" spans="1:10" ht="25.5" customHeight="1">
      <c r="A74" s="227" t="s">
        <v>471</v>
      </c>
      <c r="B74" s="228" t="s">
        <v>301</v>
      </c>
      <c r="C74" s="212"/>
      <c r="D74" s="212">
        <f>[1]Подробна_Местни!C176+24300+7021</f>
        <v>31321</v>
      </c>
      <c r="E74" s="212">
        <f>2613+24655+4053</f>
        <v>31321</v>
      </c>
      <c r="F74" s="164">
        <f t="shared" si="7"/>
        <v>0</v>
      </c>
      <c r="G74" s="209"/>
      <c r="H74" s="212">
        <v>179400</v>
      </c>
      <c r="I74" s="212">
        <f>179400+1952081+884021+879140</f>
        <v>3894642</v>
      </c>
      <c r="J74" s="212">
        <v>215300</v>
      </c>
    </row>
    <row r="75" spans="1:10" ht="16.5" customHeight="1">
      <c r="A75" s="164" t="s">
        <v>304</v>
      </c>
      <c r="B75" s="228" t="s">
        <v>305</v>
      </c>
      <c r="C75" s="164">
        <v>0</v>
      </c>
      <c r="D75" s="171">
        <v>-74565</v>
      </c>
      <c r="E75" s="171">
        <f>-1-74564</f>
        <v>-74565</v>
      </c>
      <c r="F75" s="171">
        <f t="shared" si="7"/>
        <v>0</v>
      </c>
      <c r="G75" s="209"/>
      <c r="H75" s="164">
        <v>-44109</v>
      </c>
      <c r="I75" s="164">
        <v>-44109</v>
      </c>
      <c r="J75" s="164">
        <f>[1]Подробна_Местни!I177</f>
        <v>0</v>
      </c>
    </row>
    <row r="76" spans="1:10" s="210" customFormat="1" ht="15">
      <c r="A76" s="229" t="s">
        <v>472</v>
      </c>
      <c r="B76" s="131" t="s">
        <v>307</v>
      </c>
      <c r="C76" s="159">
        <f>SUM(C77:C79)</f>
        <v>2974892</v>
      </c>
      <c r="D76" s="159">
        <f>SUM(D77:D79)</f>
        <v>2958365</v>
      </c>
      <c r="E76" s="159">
        <f>SUM(E77:E79)</f>
        <v>1671274</v>
      </c>
      <c r="F76" s="159">
        <f>SUM(F77:F79)</f>
        <v>1287091</v>
      </c>
      <c r="G76" s="208">
        <f>E76/D76%</f>
        <v>56.493164298522998</v>
      </c>
      <c r="H76" s="159">
        <f>SUM(H77:H79)</f>
        <v>661355</v>
      </c>
      <c r="I76" s="159">
        <f>SUM(I77:I79)</f>
        <v>2105416</v>
      </c>
      <c r="J76" s="159">
        <f>SUM(J77:J79)</f>
        <v>1593359</v>
      </c>
    </row>
    <row r="77" spans="1:10" ht="16.5" customHeight="1">
      <c r="A77" s="212" t="s">
        <v>473</v>
      </c>
      <c r="B77" s="228" t="s">
        <v>309</v>
      </c>
      <c r="C77" s="212">
        <f>[1]Подробна_Местни!C179</f>
        <v>3226494</v>
      </c>
      <c r="D77" s="212">
        <f>[1]Подробна_Местни!D179-705981+291694+383025</f>
        <v>3209967</v>
      </c>
      <c r="E77" s="212">
        <f>416046+42055+28120+10000+40396+39936+122343+80594+464871+426913</f>
        <v>1671274</v>
      </c>
      <c r="F77" s="164">
        <f t="shared" si="7"/>
        <v>1538693</v>
      </c>
      <c r="G77" s="209">
        <f>E77/D77%</f>
        <v>52.065145841063163</v>
      </c>
      <c r="H77" s="212">
        <v>1595675</v>
      </c>
      <c r="I77" s="212">
        <f>1595675+877440+566621</f>
        <v>3039736</v>
      </c>
      <c r="J77" s="212">
        <v>1593359</v>
      </c>
    </row>
    <row r="78" spans="1:10">
      <c r="A78" s="212" t="s">
        <v>474</v>
      </c>
      <c r="B78" s="228" t="s">
        <v>311</v>
      </c>
      <c r="C78" s="212">
        <f>[1]Подробна_Местни!C198</f>
        <v>-251602</v>
      </c>
      <c r="D78" s="212">
        <f>[1]Подробна_Местни!D198</f>
        <v>-251602</v>
      </c>
      <c r="E78" s="212"/>
      <c r="F78" s="164">
        <f t="shared" si="7"/>
        <v>-251602</v>
      </c>
      <c r="G78" s="209">
        <f>E78/D78%</f>
        <v>0</v>
      </c>
      <c r="H78" s="212">
        <v>-934320</v>
      </c>
      <c r="I78" s="212">
        <v>-934320</v>
      </c>
      <c r="J78" s="212">
        <f>[1]Подробна_Местни!I198</f>
        <v>0</v>
      </c>
    </row>
    <row r="79" spans="1:10">
      <c r="A79" s="181" t="s">
        <v>314</v>
      </c>
      <c r="B79" s="228" t="s">
        <v>315</v>
      </c>
      <c r="C79" s="212"/>
      <c r="D79" s="212"/>
      <c r="E79" s="212"/>
      <c r="F79" s="164">
        <f t="shared" si="7"/>
        <v>0</v>
      </c>
      <c r="G79" s="209"/>
      <c r="H79" s="212"/>
      <c r="I79" s="212"/>
      <c r="J79" s="212"/>
    </row>
    <row r="80" spans="1:10" s="210" customFormat="1" ht="15">
      <c r="A80" s="230" t="s">
        <v>475</v>
      </c>
      <c r="B80" s="131" t="s">
        <v>317</v>
      </c>
      <c r="C80" s="159">
        <f>SUM(C81:C82)</f>
        <v>-3643430</v>
      </c>
      <c r="D80" s="159">
        <f>SUM(D81:D82)</f>
        <v>-3643430</v>
      </c>
      <c r="E80" s="159">
        <f>SUM(E81:E82)</f>
        <v>-13257</v>
      </c>
      <c r="F80" s="159">
        <f>SUM(F81:F82)</f>
        <v>-3630173</v>
      </c>
      <c r="G80" s="208">
        <f>E80/D80%</f>
        <v>0.36386042822285591</v>
      </c>
      <c r="H80" s="159">
        <f>SUM(H81:H82)</f>
        <v>-14155170</v>
      </c>
      <c r="I80" s="159">
        <f>SUM(I81:I82)</f>
        <v>-14155170</v>
      </c>
      <c r="J80" s="159">
        <f>SUM(J81:J82)</f>
        <v>-2671489</v>
      </c>
    </row>
    <row r="81" spans="1:10" ht="18.75" customHeight="1">
      <c r="A81" s="212" t="s">
        <v>476</v>
      </c>
      <c r="B81" s="228" t="s">
        <v>319</v>
      </c>
      <c r="C81" s="212">
        <f>[1]Подробна_Местни!C201</f>
        <v>0</v>
      </c>
      <c r="D81" s="212">
        <f>[1]Подробна_Местни!D201</f>
        <v>0</v>
      </c>
      <c r="E81" s="212"/>
      <c r="F81" s="164">
        <f t="shared" si="7"/>
        <v>0</v>
      </c>
      <c r="G81" s="209"/>
      <c r="H81" s="212">
        <v>0</v>
      </c>
      <c r="I81" s="212">
        <v>0</v>
      </c>
      <c r="J81" s="212">
        <f>[1]Подробна_Местни!I201</f>
        <v>0</v>
      </c>
    </row>
    <row r="82" spans="1:10" ht="16.5" customHeight="1">
      <c r="A82" s="212" t="s">
        <v>477</v>
      </c>
      <c r="B82" s="228" t="s">
        <v>321</v>
      </c>
      <c r="C82" s="212">
        <f>[1]Подробна_Местни!C204</f>
        <v>-3643430</v>
      </c>
      <c r="D82" s="212">
        <f>[1]Подробна_Местни!D204</f>
        <v>-3643430</v>
      </c>
      <c r="E82" s="212">
        <v>-13257</v>
      </c>
      <c r="F82" s="164">
        <f t="shared" si="7"/>
        <v>-3630173</v>
      </c>
      <c r="G82" s="209">
        <f>E82/D82%</f>
        <v>0.36386042822285591</v>
      </c>
      <c r="H82" s="212">
        <v>-14155170</v>
      </c>
      <c r="I82" s="212">
        <v>-14155170</v>
      </c>
      <c r="J82" s="212">
        <v>-2671489</v>
      </c>
    </row>
    <row r="83" spans="1:10" ht="27" customHeight="1">
      <c r="A83" s="231" t="s">
        <v>478</v>
      </c>
      <c r="B83" s="131" t="s">
        <v>323</v>
      </c>
      <c r="C83" s="159">
        <f>SUM(C84:C85)</f>
        <v>0</v>
      </c>
      <c r="D83" s="159">
        <f>SUM(D84:D85)</f>
        <v>47475</v>
      </c>
      <c r="E83" s="159">
        <f>SUM(E84:E85)</f>
        <v>47475</v>
      </c>
      <c r="F83" s="159">
        <f>SUM(F84:F85)</f>
        <v>0</v>
      </c>
      <c r="G83" s="159"/>
      <c r="H83" s="159">
        <f>SUM(H84:H85)</f>
        <v>1182230</v>
      </c>
      <c r="I83" s="159">
        <f>SUM(I84:I85)</f>
        <v>1859701.93</v>
      </c>
      <c r="J83" s="159">
        <f>SUM(J84:J85)</f>
        <v>0</v>
      </c>
    </row>
    <row r="84" spans="1:10" ht="15" customHeight="1">
      <c r="A84" s="212" t="s">
        <v>479</v>
      </c>
      <c r="B84" s="228" t="s">
        <v>325</v>
      </c>
      <c r="C84" s="212">
        <f>[1]Подробна_Местни!C213</f>
        <v>0</v>
      </c>
      <c r="D84" s="212">
        <f>28740+7493+7492+3750</f>
        <v>47475</v>
      </c>
      <c r="E84" s="212">
        <f>14993+9998+3749+7493+7492+3750</f>
        <v>47475</v>
      </c>
      <c r="F84" s="164">
        <f t="shared" si="7"/>
        <v>0</v>
      </c>
      <c r="G84" s="209">
        <f>E84/D84%</f>
        <v>100</v>
      </c>
      <c r="H84" s="212">
        <f>293477.46+7498.71+881253.83</f>
        <v>1182230</v>
      </c>
      <c r="I84" s="212">
        <f>293477.46+7498.71+881253.83+654976.73+7498.2+7499+7498</f>
        <v>1859701.93</v>
      </c>
      <c r="J84" s="212">
        <f>[1]Подробна_Местни!I213</f>
        <v>0</v>
      </c>
    </row>
    <row r="85" spans="1:10">
      <c r="A85" s="212" t="s">
        <v>480</v>
      </c>
      <c r="B85" s="228" t="s">
        <v>481</v>
      </c>
      <c r="C85" s="212">
        <f>[1]Подробна_Местни!C221</f>
        <v>0</v>
      </c>
      <c r="D85" s="212">
        <f>[1]Подробна_Местни!D221</f>
        <v>0</v>
      </c>
      <c r="E85" s="212"/>
      <c r="F85" s="164">
        <f t="shared" si="7"/>
        <v>0</v>
      </c>
      <c r="G85" s="209"/>
      <c r="H85" s="212">
        <v>0</v>
      </c>
      <c r="I85" s="212">
        <v>0</v>
      </c>
      <c r="J85" s="212">
        <f>[1]Подробна_Местни!I221</f>
        <v>0</v>
      </c>
    </row>
    <row r="86" spans="1:10">
      <c r="A86" s="223" t="s">
        <v>482</v>
      </c>
      <c r="B86" s="232" t="s">
        <v>483</v>
      </c>
      <c r="C86" s="223">
        <v>0</v>
      </c>
      <c r="D86" s="223">
        <v>0</v>
      </c>
      <c r="E86" s="223">
        <f>SUM(E87:E88)</f>
        <v>0</v>
      </c>
      <c r="F86" s="164">
        <f t="shared" si="7"/>
        <v>0</v>
      </c>
      <c r="G86" s="209"/>
      <c r="H86" s="223">
        <v>0</v>
      </c>
      <c r="I86" s="223">
        <v>0</v>
      </c>
      <c r="J86" s="223">
        <v>0</v>
      </c>
    </row>
    <row r="87" spans="1:10">
      <c r="A87" s="212" t="s">
        <v>484</v>
      </c>
      <c r="B87" s="228" t="s">
        <v>485</v>
      </c>
      <c r="C87" s="212">
        <f>[1]Подробна_Местни!C223</f>
        <v>0</v>
      </c>
      <c r="D87" s="212">
        <f>[1]Подробна_Местни!D223</f>
        <v>0</v>
      </c>
      <c r="E87" s="212"/>
      <c r="F87" s="164">
        <f t="shared" si="7"/>
        <v>0</v>
      </c>
      <c r="G87" s="209"/>
      <c r="H87" s="212">
        <v>0</v>
      </c>
      <c r="I87" s="212">
        <v>0</v>
      </c>
      <c r="J87" s="212">
        <v>0</v>
      </c>
    </row>
    <row r="88" spans="1:10">
      <c r="A88" s="212" t="s">
        <v>486</v>
      </c>
      <c r="B88" s="228" t="s">
        <v>487</v>
      </c>
      <c r="C88" s="212">
        <f>[1]Подробна_Местни!C224</f>
        <v>0</v>
      </c>
      <c r="D88" s="212">
        <f>[1]Подробна_Местни!D224</f>
        <v>0</v>
      </c>
      <c r="E88" s="212"/>
      <c r="F88" s="164">
        <f t="shared" si="7"/>
        <v>0</v>
      </c>
      <c r="G88" s="209"/>
      <c r="H88" s="212">
        <v>0</v>
      </c>
      <c r="I88" s="212">
        <v>0</v>
      </c>
      <c r="J88" s="212">
        <v>0</v>
      </c>
    </row>
    <row r="89" spans="1:10" s="210" customFormat="1" ht="14.25" customHeight="1">
      <c r="A89" s="134" t="s">
        <v>326</v>
      </c>
      <c r="B89" s="131"/>
      <c r="C89" s="159">
        <f>SUM(C68,C76,C80,C83)</f>
        <v>6875462</v>
      </c>
      <c r="D89" s="159">
        <f>SUM(D68,D76,D80,D83)</f>
        <v>7535366</v>
      </c>
      <c r="E89" s="159">
        <f>SUM(E68,E76,E80,E83)</f>
        <v>9878447.75</v>
      </c>
      <c r="F89" s="159">
        <f t="shared" si="7"/>
        <v>-2343081.75</v>
      </c>
      <c r="G89" s="208">
        <f>E89/D89%</f>
        <v>131.09446508636739</v>
      </c>
      <c r="H89" s="159">
        <f>SUM(H68,H76,H80,H83)</f>
        <v>-3001294</v>
      </c>
      <c r="I89" s="159">
        <f>SUM(I68,I76,I80,I83)</f>
        <v>2835480.9299999997</v>
      </c>
      <c r="J89" s="159">
        <f>SUM(J68,J76,J80,J83)</f>
        <v>8371070</v>
      </c>
    </row>
    <row r="90" spans="1:10" s="225" customFormat="1" ht="15.75">
      <c r="A90" s="161" t="s">
        <v>327</v>
      </c>
      <c r="B90" s="174"/>
      <c r="C90" s="134"/>
      <c r="D90" s="134"/>
      <c r="E90" s="134"/>
      <c r="F90" s="164">
        <f t="shared" si="7"/>
        <v>0</v>
      </c>
      <c r="G90" s="208"/>
      <c r="H90" s="134"/>
      <c r="I90" s="134"/>
      <c r="J90" s="134"/>
    </row>
    <row r="91" spans="1:10" s="210" customFormat="1" ht="30" customHeight="1">
      <c r="A91" s="229" t="s">
        <v>488</v>
      </c>
      <c r="B91" s="232" t="s">
        <v>489</v>
      </c>
      <c r="C91" s="223">
        <f>[1]Подробна_Местни!C227</f>
        <v>2532097</v>
      </c>
      <c r="D91" s="223">
        <f>[1]Подробна_Местни!D227</f>
        <v>2532097</v>
      </c>
      <c r="E91" s="159">
        <f>-220000-1649-1015943-600000-70000-1778752</f>
        <v>-3686344</v>
      </c>
      <c r="F91" s="159">
        <f t="shared" si="7"/>
        <v>6218441</v>
      </c>
      <c r="G91" s="208">
        <f>E91/D91%</f>
        <v>-145.58462807704444</v>
      </c>
      <c r="H91" s="223">
        <v>5264641</v>
      </c>
      <c r="I91" s="212">
        <v>5264641</v>
      </c>
      <c r="J91" s="212">
        <v>5078221</v>
      </c>
    </row>
    <row r="92" spans="1:10" s="210" customFormat="1" ht="21" customHeight="1">
      <c r="A92" s="176" t="s">
        <v>490</v>
      </c>
      <c r="B92" s="174"/>
      <c r="C92" s="134">
        <f>SUM(C91,)</f>
        <v>2532097</v>
      </c>
      <c r="D92" s="134">
        <f>SUM(D91,)</f>
        <v>2532097</v>
      </c>
      <c r="E92" s="134">
        <f>E91</f>
        <v>-3686344</v>
      </c>
      <c r="F92" s="159">
        <f t="shared" si="7"/>
        <v>6218441</v>
      </c>
      <c r="G92" s="214">
        <f>SUM(G91,)</f>
        <v>-145.58462807704444</v>
      </c>
      <c r="H92" s="134">
        <f>SUM(H91,)</f>
        <v>5264641</v>
      </c>
      <c r="I92" s="134">
        <f>SUM(I91,)</f>
        <v>5264641</v>
      </c>
      <c r="J92" s="134">
        <f>SUM(J91,)</f>
        <v>5078221</v>
      </c>
    </row>
    <row r="93" spans="1:10" s="225" customFormat="1" ht="21" customHeight="1">
      <c r="A93" s="176" t="s">
        <v>331</v>
      </c>
      <c r="B93" s="177"/>
      <c r="C93" s="157">
        <f>SUM(C89,C92)</f>
        <v>9407559</v>
      </c>
      <c r="D93" s="157">
        <f>SUM(D89,D92)</f>
        <v>10067463</v>
      </c>
      <c r="E93" s="157">
        <f>SUM(E89,E92)</f>
        <v>6192103.75</v>
      </c>
      <c r="F93" s="159">
        <f t="shared" si="7"/>
        <v>3875359.25</v>
      </c>
      <c r="G93" s="214">
        <f>SUM(G89,G92)</f>
        <v>-14.490162990677049</v>
      </c>
      <c r="H93" s="157">
        <f>SUM(H89,H92)</f>
        <v>2263347</v>
      </c>
      <c r="I93" s="157">
        <f>SUM(I89,I92)</f>
        <v>8100121.9299999997</v>
      </c>
      <c r="J93" s="157">
        <f>SUM(J89,J92)</f>
        <v>13449291</v>
      </c>
    </row>
    <row r="94" spans="1:10" s="210" customFormat="1" ht="20.25" customHeight="1">
      <c r="A94" s="355" t="s">
        <v>332</v>
      </c>
      <c r="B94" s="356"/>
      <c r="C94" s="139"/>
      <c r="D94" s="139"/>
      <c r="E94" s="139"/>
      <c r="F94" s="164">
        <f t="shared" si="7"/>
        <v>0</v>
      </c>
      <c r="G94" s="133"/>
      <c r="H94" s="139"/>
      <c r="I94" s="139"/>
      <c r="J94" s="139"/>
    </row>
    <row r="95" spans="1:10" ht="17.25" customHeight="1">
      <c r="A95" s="159" t="s">
        <v>491</v>
      </c>
      <c r="B95" s="131" t="s">
        <v>492</v>
      </c>
      <c r="C95" s="159">
        <v>0</v>
      </c>
      <c r="D95" s="159">
        <v>0</v>
      </c>
      <c r="E95" s="159">
        <f>+E96</f>
        <v>0</v>
      </c>
      <c r="F95" s="164">
        <f t="shared" si="7"/>
        <v>0</v>
      </c>
      <c r="G95" s="208"/>
      <c r="H95" s="159">
        <v>0</v>
      </c>
      <c r="I95" s="159">
        <v>0</v>
      </c>
      <c r="J95" s="159">
        <v>0</v>
      </c>
    </row>
    <row r="96" spans="1:10" ht="21.75" customHeight="1">
      <c r="A96" s="181" t="s">
        <v>493</v>
      </c>
      <c r="B96" s="228" t="s">
        <v>494</v>
      </c>
      <c r="C96" s="212">
        <v>0</v>
      </c>
      <c r="D96" s="212">
        <v>0</v>
      </c>
      <c r="E96" s="212"/>
      <c r="F96" s="164">
        <f t="shared" si="7"/>
        <v>0</v>
      </c>
      <c r="G96" s="208"/>
      <c r="H96" s="212">
        <v>0</v>
      </c>
      <c r="I96" s="212">
        <v>0</v>
      </c>
      <c r="J96" s="212">
        <v>0</v>
      </c>
    </row>
    <row r="97" spans="1:10" ht="18.75" customHeight="1">
      <c r="A97" s="229" t="s">
        <v>495</v>
      </c>
      <c r="B97" s="233" t="s">
        <v>496</v>
      </c>
      <c r="C97" s="234">
        <f>SUM(C98:C99)</f>
        <v>30000</v>
      </c>
      <c r="D97" s="234">
        <f>SUM(D98:D99)</f>
        <v>30000</v>
      </c>
      <c r="E97" s="234">
        <f>SUM(E98:E99)</f>
        <v>0</v>
      </c>
      <c r="F97" s="223">
        <f t="shared" si="7"/>
        <v>30000</v>
      </c>
      <c r="G97" s="208">
        <f>E97/D97%</f>
        <v>0</v>
      </c>
      <c r="H97" s="234">
        <f>SUM(H98:H99)</f>
        <v>30000</v>
      </c>
      <c r="I97" s="234">
        <f>SUM(I98:I99)</f>
        <v>30000</v>
      </c>
      <c r="J97" s="234">
        <f>SUM(J98:J99)</f>
        <v>30000</v>
      </c>
    </row>
    <row r="98" spans="1:10" ht="21.75" customHeight="1">
      <c r="A98" s="181" t="s">
        <v>497</v>
      </c>
      <c r="B98" s="235" t="s">
        <v>498</v>
      </c>
      <c r="C98" s="217">
        <f>[1]Подробна_Местни!C274</f>
        <v>0</v>
      </c>
      <c r="D98" s="217">
        <f>[1]Подробна_Местни!D274</f>
        <v>0</v>
      </c>
      <c r="E98" s="217"/>
      <c r="F98" s="212">
        <f t="shared" si="7"/>
        <v>0</v>
      </c>
      <c r="G98" s="209"/>
      <c r="H98" s="217">
        <v>0</v>
      </c>
      <c r="I98" s="217">
        <v>0</v>
      </c>
      <c r="J98" s="217">
        <v>0</v>
      </c>
    </row>
    <row r="99" spans="1:10" ht="21.75" customHeight="1">
      <c r="A99" s="236" t="s">
        <v>499</v>
      </c>
      <c r="B99" s="235" t="s">
        <v>500</v>
      </c>
      <c r="C99" s="217">
        <f>[1]Подробна_Местни!C275</f>
        <v>30000</v>
      </c>
      <c r="D99" s="217">
        <f>[1]Подробна_Местни!D275</f>
        <v>30000</v>
      </c>
      <c r="E99" s="217"/>
      <c r="F99" s="212">
        <f t="shared" si="7"/>
        <v>30000</v>
      </c>
      <c r="G99" s="209">
        <f>E99/D99%</f>
        <v>0</v>
      </c>
      <c r="H99" s="217">
        <v>30000</v>
      </c>
      <c r="I99" s="217">
        <v>30000</v>
      </c>
      <c r="J99" s="217">
        <v>30000</v>
      </c>
    </row>
    <row r="100" spans="1:10" s="239" customFormat="1" ht="19.5" customHeight="1">
      <c r="A100" s="237" t="s">
        <v>501</v>
      </c>
      <c r="B100" s="238" t="s">
        <v>502</v>
      </c>
      <c r="C100" s="234">
        <f>SUM(C101:C106)</f>
        <v>-1652547</v>
      </c>
      <c r="D100" s="234">
        <f>SUM(D101:D106)</f>
        <v>-1652547</v>
      </c>
      <c r="E100" s="234">
        <f>SUM(E101:E106)</f>
        <v>-2043169</v>
      </c>
      <c r="F100" s="234">
        <f>SUM(F101:F106)</f>
        <v>390622</v>
      </c>
      <c r="G100" s="208">
        <f>E100/D100%</f>
        <v>123.63757278915516</v>
      </c>
      <c r="H100" s="234">
        <f>SUM(H101:H106)</f>
        <v>8197100</v>
      </c>
      <c r="I100" s="234">
        <f>SUM(I101:I106)</f>
        <v>8197100</v>
      </c>
      <c r="J100" s="234">
        <f>SUM(J101:J106)</f>
        <v>5050759</v>
      </c>
    </row>
    <row r="101" spans="1:10" s="239" customFormat="1" ht="19.5" customHeight="1">
      <c r="A101" s="212" t="s">
        <v>503</v>
      </c>
      <c r="B101" s="240" t="s">
        <v>504</v>
      </c>
      <c r="C101" s="234"/>
      <c r="D101" s="234"/>
      <c r="E101" s="234"/>
      <c r="F101" s="164">
        <f t="shared" si="7"/>
        <v>0</v>
      </c>
      <c r="G101" s="209"/>
      <c r="H101" s="234"/>
      <c r="I101" s="234"/>
      <c r="J101" s="234"/>
    </row>
    <row r="102" spans="1:10" s="195" customFormat="1" ht="21" customHeight="1">
      <c r="A102" s="212" t="s">
        <v>505</v>
      </c>
      <c r="B102" s="228" t="s">
        <v>506</v>
      </c>
      <c r="C102" s="217">
        <f>[1]Подробна_Местни!C277</f>
        <v>0</v>
      </c>
      <c r="D102" s="217">
        <f>[1]Подробна_Местни!D277</f>
        <v>0</v>
      </c>
      <c r="E102" s="217"/>
      <c r="F102" s="164">
        <f t="shared" si="7"/>
        <v>0</v>
      </c>
      <c r="G102" s="209"/>
      <c r="H102" s="217">
        <v>0</v>
      </c>
      <c r="I102" s="217">
        <v>0</v>
      </c>
      <c r="J102" s="217">
        <v>0</v>
      </c>
    </row>
    <row r="103" spans="1:10" s="195" customFormat="1" ht="20.25" customHeight="1">
      <c r="A103" s="227" t="s">
        <v>507</v>
      </c>
      <c r="B103" s="228" t="s">
        <v>508</v>
      </c>
      <c r="C103" s="217"/>
      <c r="D103" s="217"/>
      <c r="E103" s="217"/>
      <c r="F103" s="164">
        <f t="shared" si="7"/>
        <v>0</v>
      </c>
      <c r="G103" s="209"/>
      <c r="H103" s="217"/>
      <c r="I103" s="217"/>
      <c r="J103" s="217"/>
    </row>
    <row r="104" spans="1:10" ht="20.25" customHeight="1">
      <c r="A104" s="227" t="s">
        <v>509</v>
      </c>
      <c r="B104" s="228" t="s">
        <v>510</v>
      </c>
      <c r="C104" s="217">
        <f>[1]Подробна_Местни!C279</f>
        <v>-1398769</v>
      </c>
      <c r="D104" s="217">
        <f>[1]Подробна_Местни!D279</f>
        <v>-1398769</v>
      </c>
      <c r="E104" s="217">
        <f>-466256-116564-116564-116564-116564-116564-116565-116564-116564</f>
        <v>-1398769</v>
      </c>
      <c r="F104" s="164">
        <f t="shared" si="7"/>
        <v>0</v>
      </c>
      <c r="G104" s="209">
        <f>E104/D104%</f>
        <v>100</v>
      </c>
      <c r="H104" s="217">
        <v>-1398788</v>
      </c>
      <c r="I104" s="217">
        <v>-1398788</v>
      </c>
      <c r="J104" s="217">
        <v>-1273769</v>
      </c>
    </row>
    <row r="105" spans="1:10" ht="21" customHeight="1">
      <c r="A105" s="49" t="s">
        <v>511</v>
      </c>
      <c r="B105" s="241" t="s">
        <v>512</v>
      </c>
      <c r="C105" s="217">
        <f>[1]Подробна_Местни!C282</f>
        <v>390622</v>
      </c>
      <c r="D105" s="217">
        <f>[1]Подробна_Местни!D282</f>
        <v>390622</v>
      </c>
      <c r="E105" s="217"/>
      <c r="F105" s="164">
        <f t="shared" si="7"/>
        <v>390622</v>
      </c>
      <c r="G105" s="209">
        <f>E105/D105%</f>
        <v>0</v>
      </c>
      <c r="H105" s="217">
        <v>10257688</v>
      </c>
      <c r="I105" s="217">
        <v>10257688</v>
      </c>
      <c r="J105" s="217">
        <v>7371345</v>
      </c>
    </row>
    <row r="106" spans="1:10" ht="24.75" customHeight="1">
      <c r="A106" s="242" t="s">
        <v>513</v>
      </c>
      <c r="B106" s="241" t="s">
        <v>514</v>
      </c>
      <c r="C106" s="217">
        <f>[1]Подробна_Местни!C286</f>
        <v>-644400</v>
      </c>
      <c r="D106" s="217">
        <f>[1]Подробна_Местни!D286</f>
        <v>-644400</v>
      </c>
      <c r="E106" s="217">
        <f>-214800-53700-53700-53700-53700-53700-53700-53700-53700</f>
        <v>-644400</v>
      </c>
      <c r="F106" s="164">
        <f t="shared" si="7"/>
        <v>0</v>
      </c>
      <c r="G106" s="209">
        <f>E106/D106%</f>
        <v>100</v>
      </c>
      <c r="H106" s="217">
        <v>-661800</v>
      </c>
      <c r="I106" s="217">
        <v>-661800</v>
      </c>
      <c r="J106" s="217">
        <v>-1046817</v>
      </c>
    </row>
    <row r="107" spans="1:10" ht="31.5" customHeight="1">
      <c r="A107" s="243" t="s">
        <v>515</v>
      </c>
      <c r="B107" s="220" t="s">
        <v>334</v>
      </c>
      <c r="C107" s="159">
        <f>SUM(C108:C109)</f>
        <v>-137900</v>
      </c>
      <c r="D107" s="159">
        <f>SUM(D108:D109)</f>
        <v>-137900</v>
      </c>
      <c r="E107" s="159">
        <f>SUM(E108:E109)</f>
        <v>-57267</v>
      </c>
      <c r="F107" s="159">
        <f>SUM(F108:F109)</f>
        <v>-80633</v>
      </c>
      <c r="G107" s="208">
        <f>E107/D107%</f>
        <v>41.527918781725887</v>
      </c>
      <c r="H107" s="159">
        <f>SUM(H108:H109)</f>
        <v>-80633</v>
      </c>
      <c r="I107" s="159">
        <f>SUM(I108:I110)</f>
        <v>-80633</v>
      </c>
      <c r="J107" s="159">
        <f>SUM(J108:J110)</f>
        <v>83304</v>
      </c>
    </row>
    <row r="108" spans="1:10" ht="25.5">
      <c r="A108" s="244" t="s">
        <v>516</v>
      </c>
      <c r="B108" s="138" t="s">
        <v>517</v>
      </c>
      <c r="C108" s="212"/>
      <c r="D108" s="212"/>
      <c r="E108" s="212"/>
      <c r="F108" s="164">
        <f t="shared" si="7"/>
        <v>0</v>
      </c>
      <c r="G108" s="209"/>
      <c r="H108" s="212" t="s">
        <v>518</v>
      </c>
      <c r="I108" s="212" t="s">
        <v>518</v>
      </c>
      <c r="J108" s="212" t="s">
        <v>518</v>
      </c>
    </row>
    <row r="109" spans="1:10" ht="23.25" customHeight="1">
      <c r="A109" s="244" t="s">
        <v>519</v>
      </c>
      <c r="B109" s="235" t="s">
        <v>336</v>
      </c>
      <c r="C109" s="212">
        <f>[1]Подробна_Местни!C291</f>
        <v>-137900</v>
      </c>
      <c r="D109" s="212">
        <f>[1]Подробна_Местни!D291</f>
        <v>-137900</v>
      </c>
      <c r="E109" s="212">
        <f>-540-18291-12365+1740-27811</f>
        <v>-57267</v>
      </c>
      <c r="F109" s="164">
        <f t="shared" si="7"/>
        <v>-80633</v>
      </c>
      <c r="G109" s="209">
        <f>E109/D109%</f>
        <v>41.527918781725887</v>
      </c>
      <c r="H109" s="212">
        <v>-80633</v>
      </c>
      <c r="I109" s="212">
        <v>-80633</v>
      </c>
      <c r="J109" s="212">
        <v>83304</v>
      </c>
    </row>
    <row r="110" spans="1:10" ht="23.25" customHeight="1">
      <c r="A110" s="244" t="s">
        <v>520</v>
      </c>
      <c r="B110" s="235" t="s">
        <v>521</v>
      </c>
      <c r="C110" s="212"/>
      <c r="D110" s="212"/>
      <c r="E110" s="212"/>
      <c r="F110" s="164"/>
      <c r="G110" s="209"/>
      <c r="H110" s="212"/>
      <c r="I110" s="212"/>
      <c r="J110" s="212"/>
    </row>
    <row r="111" spans="1:10" s="210" customFormat="1" ht="20.25" customHeight="1">
      <c r="A111" s="223" t="s">
        <v>522</v>
      </c>
      <c r="B111" s="131" t="s">
        <v>338</v>
      </c>
      <c r="C111" s="159">
        <f>SUM(C112,C113)</f>
        <v>-3472063</v>
      </c>
      <c r="D111" s="159">
        <f>SUM(D112,D113)</f>
        <v>-2730850</v>
      </c>
      <c r="E111" s="159">
        <f>SUM(E112,E113)</f>
        <v>-2835102.45</v>
      </c>
      <c r="F111" s="159">
        <f>SUM(F112,F113)</f>
        <v>104252.45000000019</v>
      </c>
      <c r="G111" s="208">
        <f>E111/D111%</f>
        <v>103.81758243770255</v>
      </c>
      <c r="H111" s="159">
        <f>SUM(H112,H113)</f>
        <v>6533944</v>
      </c>
      <c r="I111" s="159">
        <f>SUM(I112,I113)</f>
        <v>6552952</v>
      </c>
      <c r="J111" s="159">
        <f>SUM(J112,J113)</f>
        <v>-4228634</v>
      </c>
    </row>
    <row r="112" spans="1:10" s="210" customFormat="1" ht="18.75" customHeight="1">
      <c r="A112" s="181" t="s">
        <v>339</v>
      </c>
      <c r="B112" s="228" t="s">
        <v>340</v>
      </c>
      <c r="C112" s="212">
        <f>[1]Подробна_Местни!C293</f>
        <v>0</v>
      </c>
      <c r="D112" s="212">
        <f>[1]Подробна_Местни!D293</f>
        <v>0</v>
      </c>
      <c r="E112" s="212">
        <v>5092</v>
      </c>
      <c r="F112" s="164">
        <f t="shared" si="7"/>
        <v>-5092</v>
      </c>
      <c r="G112" s="208"/>
      <c r="H112" s="212">
        <v>0</v>
      </c>
      <c r="I112" s="212">
        <v>0</v>
      </c>
      <c r="J112" s="212">
        <f>[1]Подробна_Местни!I293</f>
        <v>0</v>
      </c>
    </row>
    <row r="113" spans="1:10" s="210" customFormat="1" ht="39">
      <c r="A113" s="181" t="s">
        <v>523</v>
      </c>
      <c r="B113" s="228" t="s">
        <v>524</v>
      </c>
      <c r="C113" s="212">
        <f>[1]Подробна_Местни!C294</f>
        <v>-3472063</v>
      </c>
      <c r="D113" s="212">
        <f>[1]Подробна_Местни!D294+741213</f>
        <v>-2730850</v>
      </c>
      <c r="E113" s="212">
        <f>-506225-898706-344559-345643+33633-400123.45+318496-269211-165676-262180</f>
        <v>-2840194.45</v>
      </c>
      <c r="F113" s="164">
        <f t="shared" si="7"/>
        <v>109344.45000000019</v>
      </c>
      <c r="G113" s="208">
        <f>E113/D113%</f>
        <v>104.00404452826044</v>
      </c>
      <c r="H113" s="212">
        <v>6533944</v>
      </c>
      <c r="I113" s="212">
        <f>6533944+14400+4608</f>
        <v>6552952</v>
      </c>
      <c r="J113" s="212">
        <v>-4228634</v>
      </c>
    </row>
    <row r="114" spans="1:10" s="210" customFormat="1" ht="16.5" customHeight="1">
      <c r="A114" s="223" t="s">
        <v>525</v>
      </c>
      <c r="B114" s="131" t="s">
        <v>344</v>
      </c>
      <c r="C114" s="134">
        <f>SUM(C115:C120)</f>
        <v>6605098</v>
      </c>
      <c r="D114" s="134">
        <f>SUM(D115:D120)</f>
        <v>6605098</v>
      </c>
      <c r="E114" s="134">
        <f>SUM(E115:E120)</f>
        <v>4176145</v>
      </c>
      <c r="F114" s="134">
        <f>SUM(F115:F120)</f>
        <v>2428953</v>
      </c>
      <c r="G114" s="208">
        <f>E114/D114%</f>
        <v>63.226086880164388</v>
      </c>
      <c r="H114" s="134">
        <f>SUM(H115:H120)</f>
        <v>2428953</v>
      </c>
      <c r="I114" s="134">
        <f>SUM(I115:I120)</f>
        <v>2428953</v>
      </c>
      <c r="J114" s="134">
        <f>SUM(J115:J120)</f>
        <v>5693729</v>
      </c>
    </row>
    <row r="115" spans="1:10" ht="21.75" customHeight="1">
      <c r="A115" s="245" t="s">
        <v>526</v>
      </c>
      <c r="B115" s="228" t="s">
        <v>346</v>
      </c>
      <c r="C115" s="212">
        <f>[1]Подробна_Местни!C307</f>
        <v>5814872</v>
      </c>
      <c r="D115" s="212">
        <f>[1]Подробна_Местни!D307</f>
        <v>5814872</v>
      </c>
      <c r="E115" s="212">
        <v>5814872</v>
      </c>
      <c r="F115" s="164">
        <f t="shared" si="7"/>
        <v>0</v>
      </c>
      <c r="G115" s="209">
        <f>E115/D115%</f>
        <v>100</v>
      </c>
      <c r="H115" s="212">
        <v>2139047</v>
      </c>
      <c r="I115" s="212">
        <v>2139047</v>
      </c>
      <c r="J115" s="212">
        <v>5403823</v>
      </c>
    </row>
    <row r="116" spans="1:10" ht="18.75" customHeight="1">
      <c r="A116" s="221" t="s">
        <v>527</v>
      </c>
      <c r="B116" s="228" t="s">
        <v>348</v>
      </c>
      <c r="C116" s="212">
        <f>[1]Подробна_Местни!C313</f>
        <v>790226</v>
      </c>
      <c r="D116" s="212">
        <f>[1]Подробна_Местни!D313</f>
        <v>790226</v>
      </c>
      <c r="E116" s="212">
        <v>790226</v>
      </c>
      <c r="F116" s="164">
        <f t="shared" si="7"/>
        <v>0</v>
      </c>
      <c r="G116" s="209">
        <f>E116/D116%</f>
        <v>100</v>
      </c>
      <c r="H116" s="212">
        <v>289906</v>
      </c>
      <c r="I116" s="212">
        <v>289906</v>
      </c>
      <c r="J116" s="212">
        <v>289906</v>
      </c>
    </row>
    <row r="117" spans="1:10" ht="13.5" customHeight="1">
      <c r="A117" s="221" t="s">
        <v>528</v>
      </c>
      <c r="B117" s="228" t="s">
        <v>529</v>
      </c>
      <c r="C117" s="212">
        <v>0</v>
      </c>
      <c r="D117" s="212">
        <v>0</v>
      </c>
      <c r="E117" s="212"/>
      <c r="F117" s="164">
        <f t="shared" si="7"/>
        <v>0</v>
      </c>
      <c r="G117" s="209"/>
      <c r="H117" s="212">
        <v>0</v>
      </c>
      <c r="I117" s="212">
        <v>0</v>
      </c>
      <c r="J117" s="212">
        <v>0</v>
      </c>
    </row>
    <row r="118" spans="1:10" ht="19.5" customHeight="1">
      <c r="A118" s="181" t="s">
        <v>530</v>
      </c>
      <c r="B118" s="228" t="s">
        <v>350</v>
      </c>
      <c r="C118" s="212">
        <v>0</v>
      </c>
      <c r="D118" s="212">
        <v>0</v>
      </c>
      <c r="E118" s="212">
        <f>-11042712+1563846+736594-1+836046-471443+798562-108121+599287+1624324+3254701+69870</f>
        <v>-2139047</v>
      </c>
      <c r="F118" s="164">
        <f t="shared" si="7"/>
        <v>2139047</v>
      </c>
      <c r="G118" s="209"/>
      <c r="H118" s="212">
        <v>0</v>
      </c>
      <c r="I118" s="212">
        <v>0</v>
      </c>
      <c r="J118" s="212">
        <v>0</v>
      </c>
    </row>
    <row r="119" spans="1:10" ht="19.5" customHeight="1">
      <c r="A119" s="181" t="s">
        <v>531</v>
      </c>
      <c r="B119" s="228" t="s">
        <v>532</v>
      </c>
      <c r="C119" s="212">
        <v>0</v>
      </c>
      <c r="D119" s="212">
        <v>0</v>
      </c>
      <c r="E119" s="212">
        <f>-790183-21-22+500320</f>
        <v>-289906</v>
      </c>
      <c r="F119" s="164">
        <f t="shared" si="7"/>
        <v>289906</v>
      </c>
      <c r="G119" s="209"/>
      <c r="H119" s="212">
        <v>0</v>
      </c>
      <c r="I119" s="212">
        <v>0</v>
      </c>
      <c r="J119" s="212">
        <v>0</v>
      </c>
    </row>
    <row r="120" spans="1:10" ht="19.5" customHeight="1">
      <c r="A120" s="181" t="s">
        <v>533</v>
      </c>
      <c r="B120" s="228" t="s">
        <v>354</v>
      </c>
      <c r="C120" s="212">
        <v>0</v>
      </c>
      <c r="D120" s="212">
        <v>0</v>
      </c>
      <c r="E120" s="212"/>
      <c r="F120" s="164">
        <f t="shared" si="7"/>
        <v>0</v>
      </c>
      <c r="G120" s="209"/>
      <c r="H120" s="212">
        <v>0</v>
      </c>
      <c r="I120" s="212">
        <v>0</v>
      </c>
      <c r="J120" s="212">
        <v>0</v>
      </c>
    </row>
    <row r="121" spans="1:10" s="115" customFormat="1" ht="19.5" customHeight="1">
      <c r="A121" s="183" t="s">
        <v>355</v>
      </c>
      <c r="B121" s="184"/>
      <c r="C121" s="185">
        <f>SUM(C95,C97,C100,C107,C111,C114)</f>
        <v>1372588</v>
      </c>
      <c r="D121" s="185">
        <f>SUM(D95,D97,D100,D107,D111,D114)</f>
        <v>2113801</v>
      </c>
      <c r="E121" s="185">
        <f>SUM(E95,E97,E100,E107,E111,E114)</f>
        <v>-759393.45000000019</v>
      </c>
      <c r="F121" s="185">
        <f>SUM(F95,F97,F100,F107,F111,F114)</f>
        <v>2873194.45</v>
      </c>
      <c r="G121" s="208">
        <f>E121/D121%</f>
        <v>-35.925493932494128</v>
      </c>
      <c r="H121" s="185">
        <f>SUM(H95,H97,H100,H107,H111,H114)</f>
        <v>17109364</v>
      </c>
      <c r="I121" s="185">
        <f>SUM(I95,I97,I100,I107,I111,I114)</f>
        <v>17128372</v>
      </c>
      <c r="J121" s="185">
        <f>SUM(J95,J97,J100,J107,J111,J114)</f>
        <v>6629158</v>
      </c>
    </row>
    <row r="122" spans="1:10" s="115" customFormat="1" ht="19.5" customHeight="1">
      <c r="A122" s="186" t="s">
        <v>356</v>
      </c>
      <c r="B122" s="246"/>
      <c r="C122" s="157">
        <f>SUM(C65,C93,C121)</f>
        <v>31521079</v>
      </c>
      <c r="D122" s="157">
        <f>SUM(D65,D93,D121)</f>
        <v>32932043</v>
      </c>
      <c r="E122" s="157">
        <f>SUM(E65,E93,E121)</f>
        <v>23666870.300000001</v>
      </c>
      <c r="F122" s="157">
        <f>SUM(F65,F93,F121)</f>
        <v>9265172.6999999993</v>
      </c>
      <c r="G122" s="208">
        <f>E122/D122%</f>
        <v>71.865782210960916</v>
      </c>
      <c r="H122" s="157">
        <f>SUM(H65,H93,H121)</f>
        <v>38796286</v>
      </c>
      <c r="I122" s="157">
        <f>SUM(I65,I93,I121)</f>
        <v>44652359.93</v>
      </c>
      <c r="J122" s="157">
        <f>SUM(J65,J93,J121)</f>
        <v>41354828</v>
      </c>
    </row>
    <row r="123" spans="1:10" s="210" customFormat="1" ht="19.5" hidden="1" customHeight="1">
      <c r="A123" s="188" t="s">
        <v>357</v>
      </c>
      <c r="B123" s="247"/>
      <c r="C123" s="248">
        <v>23758994</v>
      </c>
      <c r="D123" s="248">
        <v>23758994</v>
      </c>
      <c r="E123" s="248">
        <f>SUM(E17,E64,E100,E111,E93,E115:E117)</f>
        <v>26153090.300000001</v>
      </c>
      <c r="F123" s="248">
        <f>SUM(F17,F64,F100,F111,F93,F115:F117)</f>
        <v>6886852.7000000002</v>
      </c>
      <c r="G123" s="249">
        <f>E123/D123%</f>
        <v>110.07658952226681</v>
      </c>
      <c r="H123" s="248">
        <v>23758994</v>
      </c>
      <c r="I123" s="248">
        <v>23758994</v>
      </c>
      <c r="J123" s="248">
        <v>23758994</v>
      </c>
    </row>
    <row r="124" spans="1:10">
      <c r="A124" s="192"/>
      <c r="B124" s="193"/>
      <c r="C124" s="112"/>
      <c r="D124" s="112"/>
      <c r="E124" s="112"/>
      <c r="F124" s="112"/>
      <c r="G124" s="250"/>
      <c r="H124" s="112"/>
      <c r="I124" s="112"/>
      <c r="J124" s="112"/>
    </row>
    <row r="125" spans="1:10">
      <c r="A125" s="192"/>
      <c r="B125" s="193"/>
      <c r="C125" s="112"/>
      <c r="D125" s="112"/>
      <c r="E125" s="112"/>
      <c r="F125" s="112"/>
      <c r="G125" s="112"/>
      <c r="H125" s="112"/>
      <c r="I125" s="112"/>
      <c r="J125" s="112"/>
    </row>
    <row r="126" spans="1:10">
      <c r="A126" s="192"/>
      <c r="B126" s="193"/>
      <c r="C126" s="251"/>
      <c r="D126" s="251"/>
      <c r="H126" s="251"/>
      <c r="I126" s="251"/>
      <c r="J126" s="251"/>
    </row>
    <row r="127" spans="1:10">
      <c r="A127" s="192"/>
      <c r="B127" s="193"/>
      <c r="C127" s="251"/>
      <c r="D127" s="251"/>
      <c r="E127" s="112"/>
      <c r="H127" s="251"/>
      <c r="I127" s="251"/>
      <c r="J127" s="251"/>
    </row>
    <row r="128" spans="1:10">
      <c r="A128" s="192"/>
      <c r="B128" s="193"/>
      <c r="C128" s="251"/>
      <c r="D128" s="251"/>
      <c r="H128" s="251"/>
      <c r="I128" s="251"/>
      <c r="J128" s="251"/>
    </row>
    <row r="129" spans="1:7">
      <c r="A129" s="192"/>
      <c r="B129" s="193"/>
    </row>
    <row r="130" spans="1:7">
      <c r="A130" s="192"/>
      <c r="B130" s="193"/>
      <c r="G130" s="205" t="s">
        <v>518</v>
      </c>
    </row>
    <row r="131" spans="1:7">
      <c r="A131" s="192"/>
      <c r="B131" s="193"/>
    </row>
    <row r="132" spans="1:7">
      <c r="A132" s="192"/>
      <c r="B132" s="193"/>
    </row>
    <row r="133" spans="1:7">
      <c r="A133" s="192"/>
      <c r="B133" s="193"/>
    </row>
    <row r="134" spans="1:7">
      <c r="A134" s="192"/>
      <c r="B134" s="193"/>
    </row>
    <row r="135" spans="1:7">
      <c r="A135" s="192"/>
      <c r="B135" s="193"/>
    </row>
    <row r="136" spans="1:7">
      <c r="A136" s="192"/>
      <c r="B136" s="193"/>
    </row>
    <row r="137" spans="1:7">
      <c r="A137" s="192"/>
      <c r="B137" s="193"/>
    </row>
    <row r="138" spans="1:7">
      <c r="A138" s="192"/>
      <c r="B138" s="193"/>
    </row>
    <row r="139" spans="1:7">
      <c r="A139" s="192"/>
      <c r="B139" s="193"/>
    </row>
    <row r="140" spans="1:7">
      <c r="A140" s="192"/>
      <c r="B140" s="193"/>
    </row>
    <row r="141" spans="1:7">
      <c r="A141" s="192"/>
      <c r="B141" s="193"/>
    </row>
    <row r="142" spans="1:7">
      <c r="A142" s="192"/>
      <c r="B142" s="193"/>
    </row>
    <row r="143" spans="1:7">
      <c r="A143" s="192"/>
      <c r="B143" s="193"/>
    </row>
    <row r="144" spans="1:7">
      <c r="A144" s="192"/>
      <c r="B144" s="193"/>
    </row>
    <row r="145" spans="1:2">
      <c r="A145" s="192"/>
      <c r="B145" s="193"/>
    </row>
    <row r="146" spans="1:2">
      <c r="A146" s="192"/>
      <c r="B146" s="193"/>
    </row>
    <row r="147" spans="1:2">
      <c r="A147" s="192"/>
      <c r="B147" s="193"/>
    </row>
    <row r="148" spans="1:2">
      <c r="A148" s="192"/>
      <c r="B148" s="193"/>
    </row>
    <row r="149" spans="1:2">
      <c r="A149" s="192"/>
      <c r="B149" s="193"/>
    </row>
    <row r="150" spans="1:2">
      <c r="A150" s="192"/>
      <c r="B150" s="193"/>
    </row>
    <row r="151" spans="1:2">
      <c r="A151" s="192"/>
      <c r="B151" s="193"/>
    </row>
    <row r="152" spans="1:2">
      <c r="A152" s="192"/>
      <c r="B152" s="193"/>
    </row>
    <row r="153" spans="1:2">
      <c r="A153" s="192"/>
      <c r="B153" s="193"/>
    </row>
    <row r="154" spans="1:2">
      <c r="A154" s="192"/>
      <c r="B154" s="193"/>
    </row>
    <row r="155" spans="1:2">
      <c r="A155" s="192"/>
      <c r="B155" s="193"/>
    </row>
    <row r="156" spans="1:2">
      <c r="A156" s="192"/>
      <c r="B156" s="193"/>
    </row>
    <row r="157" spans="1:2">
      <c r="A157" s="192"/>
      <c r="B157" s="193"/>
    </row>
    <row r="158" spans="1:2">
      <c r="A158" s="192"/>
      <c r="B158" s="193"/>
    </row>
    <row r="159" spans="1:2">
      <c r="A159" s="192"/>
      <c r="B159" s="193"/>
    </row>
    <row r="160" spans="1:2">
      <c r="A160" s="192"/>
      <c r="B160" s="193"/>
    </row>
    <row r="161" spans="1:2">
      <c r="A161" s="192"/>
      <c r="B161" s="193"/>
    </row>
    <row r="162" spans="1:2">
      <c r="A162" s="192"/>
      <c r="B162" s="193"/>
    </row>
    <row r="163" spans="1:2">
      <c r="A163" s="192"/>
      <c r="B163" s="193"/>
    </row>
    <row r="164" spans="1:2">
      <c r="A164" s="192"/>
      <c r="B164" s="193"/>
    </row>
    <row r="360" spans="1:2">
      <c r="A360" s="205"/>
      <c r="B360" s="205"/>
    </row>
  </sheetData>
  <mergeCells count="3">
    <mergeCell ref="A5:B5"/>
    <mergeCell ref="A66:B66"/>
    <mergeCell ref="A94:B9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70"/>
  <sheetViews>
    <sheetView showZeros="0" workbookViewId="0">
      <pane xSplit="2" ySplit="8" topLeftCell="DG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defaultColWidth="9.85546875" defaultRowHeight="12.75"/>
  <cols>
    <col min="1" max="1" width="27.5703125" style="2" customWidth="1"/>
    <col min="2" max="2" width="5.28515625" style="2" customWidth="1"/>
    <col min="3" max="4" width="9" style="2" customWidth="1"/>
    <col min="5" max="5" width="9.7109375" style="3" customWidth="1"/>
    <col min="6" max="6" width="7.5703125" style="2" customWidth="1"/>
    <col min="7" max="7" width="10.42578125" style="2" customWidth="1"/>
    <col min="8" max="8" width="7.28515625" style="3" customWidth="1"/>
    <col min="9" max="10" width="9.28515625" style="2" customWidth="1"/>
    <col min="11" max="11" width="9" style="3" customWidth="1"/>
    <col min="12" max="12" width="9" style="2" customWidth="1"/>
    <col min="13" max="13" width="8" style="2" customWidth="1"/>
    <col min="14" max="14" width="8.28515625" style="3" customWidth="1"/>
    <col min="15" max="15" width="9.5703125" style="2" customWidth="1"/>
    <col min="16" max="16" width="8.42578125" style="2" customWidth="1"/>
    <col min="17" max="17" width="7.5703125" style="3" customWidth="1"/>
    <col min="18" max="18" width="9.140625" style="2" customWidth="1"/>
    <col min="19" max="19" width="9" style="2" customWidth="1"/>
    <col min="20" max="20" width="7.85546875" style="3" customWidth="1"/>
    <col min="21" max="21" width="6.7109375" style="2" customWidth="1"/>
    <col min="22" max="22" width="5.7109375" style="2" customWidth="1"/>
    <col min="23" max="23" width="6.5703125" style="3" customWidth="1"/>
    <col min="24" max="24" width="8.7109375" style="2" customWidth="1"/>
    <col min="25" max="25" width="9" style="2" customWidth="1"/>
    <col min="26" max="26" width="8.42578125" style="3" customWidth="1"/>
    <col min="27" max="27" width="9.85546875" style="2" customWidth="1"/>
    <col min="28" max="28" width="10" style="2" customWidth="1"/>
    <col min="29" max="29" width="10.5703125" style="3" customWidth="1"/>
    <col min="30" max="30" width="8.140625" style="2" customWidth="1"/>
    <col min="31" max="31" width="7.85546875" style="2" customWidth="1"/>
    <col min="32" max="32" width="10" style="3" customWidth="1"/>
    <col min="33" max="33" width="10.28515625" style="2" customWidth="1"/>
    <col min="34" max="34" width="10.140625" style="2" customWidth="1"/>
    <col min="35" max="35" width="10.28515625" style="2" customWidth="1"/>
    <col min="36" max="36" width="9.7109375" style="2" customWidth="1"/>
    <col min="37" max="37" width="9.140625" style="2" bestFit="1" customWidth="1"/>
    <col min="38" max="38" width="9" style="3" customWidth="1"/>
    <col min="39" max="39" width="8" style="2" customWidth="1"/>
    <col min="40" max="40" width="8.28515625" style="2" customWidth="1"/>
    <col min="41" max="41" width="9" style="3" customWidth="1"/>
    <col min="42" max="42" width="8.42578125" style="2" customWidth="1"/>
    <col min="43" max="43" width="8.28515625" style="2" bestFit="1" customWidth="1"/>
    <col min="44" max="44" width="9" style="3" customWidth="1"/>
    <col min="45" max="45" width="7.140625" style="2" customWidth="1"/>
    <col min="46" max="46" width="9.140625" style="2" customWidth="1"/>
    <col min="47" max="47" width="7.5703125" style="2" customWidth="1"/>
    <col min="48" max="48" width="10" style="2" customWidth="1"/>
    <col min="49" max="49" width="10.140625" style="2" bestFit="1" customWidth="1"/>
    <col min="50" max="50" width="12.7109375" style="3" bestFit="1" customWidth="1"/>
    <col min="51" max="51" width="9.140625" style="2" customWidth="1"/>
    <col min="52" max="52" width="9" style="2" customWidth="1"/>
    <col min="53" max="53" width="10.42578125" style="3" customWidth="1"/>
    <col min="54" max="54" width="8.7109375" style="2" customWidth="1"/>
    <col min="55" max="55" width="8.140625" style="2" customWidth="1"/>
    <col min="56" max="56" width="9.7109375" style="3" customWidth="1"/>
    <col min="57" max="57" width="6.5703125" style="2" bestFit="1" customWidth="1"/>
    <col min="58" max="58" width="7.5703125" style="2" customWidth="1"/>
    <col min="59" max="59" width="7.7109375" style="3" customWidth="1"/>
    <col min="60" max="61" width="9.28515625" style="2" bestFit="1" customWidth="1"/>
    <col min="62" max="62" width="9.140625" style="3" customWidth="1"/>
    <col min="63" max="64" width="7.85546875" style="2" customWidth="1"/>
    <col min="65" max="65" width="10" style="3" customWidth="1"/>
    <col min="66" max="66" width="6.42578125" style="2" customWidth="1"/>
    <col min="67" max="67" width="9" style="2" customWidth="1"/>
    <col min="68" max="68" width="7.7109375" style="3" customWidth="1"/>
    <col min="69" max="69" width="9.7109375" style="2" customWidth="1"/>
    <col min="70" max="70" width="9.42578125" style="2" customWidth="1"/>
    <col min="71" max="71" width="7.7109375" style="3" customWidth="1"/>
    <col min="72" max="72" width="8.5703125" style="2" customWidth="1"/>
    <col min="73" max="73" width="9.140625" style="2" customWidth="1"/>
    <col min="74" max="74" width="10.42578125" style="3" customWidth="1"/>
    <col min="75" max="76" width="7.85546875" style="2" customWidth="1"/>
    <col min="77" max="77" width="10.42578125" style="3" customWidth="1"/>
    <col min="78" max="79" width="7.85546875" style="2" customWidth="1"/>
    <col min="80" max="80" width="10.42578125" style="3" customWidth="1"/>
    <col min="81" max="81" width="8.5703125" style="2" customWidth="1"/>
    <col min="82" max="82" width="8.85546875" style="2" customWidth="1"/>
    <col min="83" max="83" width="7.85546875" style="3" customWidth="1"/>
    <col min="84" max="84" width="7.7109375" style="2" bestFit="1" customWidth="1"/>
    <col min="85" max="85" width="9.5703125" style="2" customWidth="1"/>
    <col min="86" max="86" width="9.7109375" style="3" customWidth="1"/>
    <col min="87" max="87" width="8.85546875" style="2" customWidth="1"/>
    <col min="88" max="88" width="9.42578125" style="2" customWidth="1"/>
    <col min="89" max="89" width="7.7109375" style="3" bestFit="1" customWidth="1"/>
    <col min="90" max="90" width="8.85546875" style="2" customWidth="1"/>
    <col min="91" max="91" width="9.42578125" style="2" customWidth="1"/>
    <col min="92" max="92" width="7.7109375" style="3" bestFit="1" customWidth="1"/>
    <col min="93" max="93" width="9.140625" style="2" customWidth="1"/>
    <col min="94" max="94" width="10" style="2" customWidth="1"/>
    <col min="95" max="95" width="9.28515625" style="3" bestFit="1" customWidth="1"/>
    <col min="96" max="96" width="9.28515625" style="2" customWidth="1"/>
    <col min="97" max="97" width="9.28515625" style="2" bestFit="1" customWidth="1"/>
    <col min="98" max="98" width="7.7109375" style="3" bestFit="1" customWidth="1"/>
    <col min="99" max="99" width="8" style="2" customWidth="1"/>
    <col min="100" max="100" width="8.5703125" style="2" customWidth="1"/>
    <col min="101" max="101" width="9.42578125" style="2" customWidth="1"/>
    <col min="102" max="102" width="9.140625" style="2" customWidth="1"/>
    <col min="103" max="103" width="11.42578125" style="2" customWidth="1"/>
    <col min="104" max="104" width="10.28515625" style="3" customWidth="1"/>
    <col min="105" max="105" width="7.7109375" style="2" bestFit="1" customWidth="1"/>
    <col min="106" max="106" width="8.28515625" style="2" bestFit="1" customWidth="1"/>
    <col min="107" max="107" width="7.7109375" style="3" bestFit="1" customWidth="1"/>
    <col min="108" max="108" width="6.5703125" style="2" bestFit="1" customWidth="1"/>
    <col min="109" max="109" width="8.28515625" style="2" bestFit="1" customWidth="1"/>
    <col min="110" max="110" width="7.140625" style="3" bestFit="1" customWidth="1"/>
    <col min="111" max="111" width="7.7109375" style="2" bestFit="1" customWidth="1"/>
    <col min="112" max="112" width="8.28515625" style="2" bestFit="1" customWidth="1"/>
    <col min="113" max="113" width="7.7109375" style="3" bestFit="1" customWidth="1"/>
    <col min="114" max="114" width="7.7109375" style="2" bestFit="1" customWidth="1"/>
    <col min="115" max="115" width="8.28515625" style="2" bestFit="1" customWidth="1"/>
    <col min="116" max="116" width="7.7109375" style="3" bestFit="1" customWidth="1"/>
    <col min="117" max="118" width="9.85546875" style="2" customWidth="1"/>
    <col min="119" max="119" width="8.85546875" style="3" customWidth="1"/>
    <col min="120" max="120" width="8.85546875" style="2" customWidth="1"/>
    <col min="121" max="121" width="9.7109375" style="2" customWidth="1"/>
    <col min="122" max="122" width="7.7109375" style="3" bestFit="1" customWidth="1"/>
    <col min="123" max="123" width="7.5703125" style="2" customWidth="1"/>
    <col min="124" max="124" width="8.28515625" style="2" bestFit="1" customWidth="1"/>
    <col min="125" max="125" width="7.140625" style="2" bestFit="1" customWidth="1"/>
    <col min="126" max="126" width="9" style="2" customWidth="1"/>
    <col min="127" max="127" width="9.5703125" style="2" customWidth="1"/>
    <col min="128" max="128" width="10.85546875" style="2" customWidth="1"/>
    <col min="129" max="129" width="10.42578125" style="2" customWidth="1"/>
    <col min="130" max="130" width="11.28515625" style="2" customWidth="1"/>
    <col min="131" max="131" width="11" style="2" customWidth="1"/>
    <col min="132" max="132" width="6.7109375" style="2" customWidth="1"/>
    <col min="133" max="133" width="17.140625" style="2" customWidth="1"/>
    <col min="134" max="135" width="9.85546875" style="2"/>
    <col min="136" max="136" width="13.140625" style="2" customWidth="1"/>
    <col min="137" max="213" width="9.85546875" style="2"/>
    <col min="214" max="214" width="27.5703125" style="2" customWidth="1"/>
    <col min="215" max="215" width="5.28515625" style="2" customWidth="1"/>
    <col min="216" max="217" width="9" style="2" customWidth="1"/>
    <col min="218" max="218" width="9.5703125" style="2" customWidth="1"/>
    <col min="219" max="219" width="9.7109375" style="2" customWidth="1"/>
    <col min="220" max="220" width="7.5703125" style="2" customWidth="1"/>
    <col min="221" max="221" width="10.42578125" style="2" customWidth="1"/>
    <col min="222" max="222" width="9.140625" style="2" bestFit="1" customWidth="1"/>
    <col min="223" max="223" width="7.28515625" style="2" customWidth="1"/>
    <col min="224" max="225" width="9.28515625" style="2" customWidth="1"/>
    <col min="226" max="226" width="9.5703125" style="2" customWidth="1"/>
    <col min="227" max="228" width="9" style="2" customWidth="1"/>
    <col min="229" max="229" width="8" style="2" customWidth="1"/>
    <col min="230" max="230" width="8.5703125" style="2" customWidth="1"/>
    <col min="231" max="231" width="8.28515625" style="2" customWidth="1"/>
    <col min="232" max="232" width="9.5703125" style="2" customWidth="1"/>
    <col min="233" max="233" width="8.42578125" style="2" customWidth="1"/>
    <col min="234" max="234" width="8.140625" style="2" customWidth="1"/>
    <col min="235" max="235" width="7.5703125" style="2" customWidth="1"/>
    <col min="236" max="236" width="9.140625" style="2" customWidth="1"/>
    <col min="237" max="237" width="9" style="2" customWidth="1"/>
    <col min="238" max="238" width="8.5703125" style="2" customWidth="1"/>
    <col min="239" max="239" width="7.85546875" style="2" customWidth="1"/>
    <col min="240" max="240" width="6.7109375" style="2" customWidth="1"/>
    <col min="241" max="241" width="5.7109375" style="2" customWidth="1"/>
    <col min="242" max="242" width="6.28515625" style="2" customWidth="1"/>
    <col min="243" max="243" width="6.5703125" style="2" customWidth="1"/>
    <col min="244" max="244" width="8.7109375" style="2" customWidth="1"/>
    <col min="245" max="245" width="9" style="2" customWidth="1"/>
    <col min="246" max="246" width="8.28515625" style="2" customWidth="1"/>
    <col min="247" max="247" width="8.42578125" style="2" customWidth="1"/>
    <col min="248" max="248" width="9.85546875" style="2" customWidth="1"/>
    <col min="249" max="249" width="10" style="2" customWidth="1"/>
    <col min="250" max="250" width="10.140625" style="2" customWidth="1"/>
    <col min="251" max="251" width="10.5703125" style="2" customWidth="1"/>
    <col min="252" max="252" width="8.140625" style="2" customWidth="1"/>
    <col min="253" max="253" width="7.85546875" style="2" customWidth="1"/>
    <col min="254" max="254" width="9" style="2" customWidth="1"/>
    <col min="255" max="255" width="10" style="2" customWidth="1"/>
    <col min="256" max="256" width="10.28515625" style="2" customWidth="1"/>
    <col min="257" max="257" width="10.140625" style="2" customWidth="1"/>
    <col min="258" max="258" width="10.5703125" style="2" customWidth="1"/>
    <col min="259" max="259" width="10.28515625" style="2" customWidth="1"/>
    <col min="260" max="260" width="9.7109375" style="2" customWidth="1"/>
    <col min="261" max="261" width="9.140625" style="2" bestFit="1" customWidth="1"/>
    <col min="262" max="262" width="9.28515625" style="2" customWidth="1"/>
    <col min="263" max="263" width="9" style="2" customWidth="1"/>
    <col min="264" max="264" width="8" style="2" customWidth="1"/>
    <col min="265" max="265" width="8.28515625" style="2" customWidth="1"/>
    <col min="266" max="266" width="7.85546875" style="2" customWidth="1"/>
    <col min="267" max="267" width="9" style="2" customWidth="1"/>
    <col min="268" max="268" width="8.42578125" style="2" customWidth="1"/>
    <col min="269" max="269" width="8.28515625" style="2" bestFit="1" customWidth="1"/>
    <col min="270" max="271" width="9" style="2" customWidth="1"/>
    <col min="272" max="272" width="7.140625" style="2" customWidth="1"/>
    <col min="273" max="273" width="9.140625" style="2" customWidth="1"/>
    <col min="274" max="274" width="7.7109375" style="2" customWidth="1"/>
    <col min="275" max="275" width="7.5703125" style="2" customWidth="1"/>
    <col min="276" max="276" width="10" style="2" customWidth="1"/>
    <col min="277" max="278" width="10.140625" style="2" bestFit="1" customWidth="1"/>
    <col min="279" max="279" width="12.7109375" style="2" bestFit="1" customWidth="1"/>
    <col min="280" max="280" width="9.140625" style="2" customWidth="1"/>
    <col min="281" max="281" width="9" style="2" customWidth="1"/>
    <col min="282" max="282" width="8.85546875" style="2" customWidth="1"/>
    <col min="283" max="283" width="10.42578125" style="2" customWidth="1"/>
    <col min="284" max="284" width="8.7109375" style="2" customWidth="1"/>
    <col min="285" max="285" width="8.140625" style="2" customWidth="1"/>
    <col min="286" max="286" width="7.7109375" style="2" customWidth="1"/>
    <col min="287" max="287" width="9.7109375" style="2" customWidth="1"/>
    <col min="288" max="288" width="6.5703125" style="2" bestFit="1" customWidth="1"/>
    <col min="289" max="290" width="7.5703125" style="2" customWidth="1"/>
    <col min="291" max="291" width="7.7109375" style="2" customWidth="1"/>
    <col min="292" max="293" width="9.28515625" style="2" bestFit="1" customWidth="1"/>
    <col min="294" max="294" width="9.5703125" style="2" customWidth="1"/>
    <col min="295" max="295" width="9.140625" style="2" customWidth="1"/>
    <col min="296" max="297" width="7.85546875" style="2" customWidth="1"/>
    <col min="298" max="298" width="9.42578125" style="2" customWidth="1"/>
    <col min="299" max="299" width="10" style="2" customWidth="1"/>
    <col min="300" max="300" width="6.42578125" style="2" customWidth="1"/>
    <col min="301" max="301" width="9" style="2" customWidth="1"/>
    <col min="302" max="302" width="8.85546875" style="2" customWidth="1"/>
    <col min="303" max="303" width="7.7109375" style="2" customWidth="1"/>
    <col min="304" max="304" width="9.7109375" style="2" customWidth="1"/>
    <col min="305" max="305" width="9.42578125" style="2" customWidth="1"/>
    <col min="306" max="306" width="9.85546875" style="2" customWidth="1"/>
    <col min="307" max="307" width="7.7109375" style="2" customWidth="1"/>
    <col min="308" max="308" width="8.5703125" style="2" customWidth="1"/>
    <col min="309" max="309" width="9.140625" style="2" customWidth="1"/>
    <col min="310" max="310" width="10.140625" style="2" customWidth="1"/>
    <col min="311" max="311" width="10.42578125" style="2" customWidth="1"/>
    <col min="312" max="313" width="7.85546875" style="2" customWidth="1"/>
    <col min="314" max="314" width="8.28515625" style="2" customWidth="1"/>
    <col min="315" max="315" width="10.42578125" style="2" customWidth="1"/>
    <col min="316" max="317" width="7.85546875" style="2" customWidth="1"/>
    <col min="318" max="318" width="8.28515625" style="2" customWidth="1"/>
    <col min="319" max="319" width="10.42578125" style="2" customWidth="1"/>
    <col min="320" max="320" width="8.5703125" style="2" customWidth="1"/>
    <col min="321" max="321" width="8.85546875" style="2" customWidth="1"/>
    <col min="322" max="322" width="8.7109375" style="2" customWidth="1"/>
    <col min="323" max="323" width="7.140625" style="2" bestFit="1" customWidth="1"/>
    <col min="324" max="324" width="7.7109375" style="2" bestFit="1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8.85546875" style="2" customWidth="1"/>
    <col min="329" max="329" width="9.42578125" style="2" customWidth="1"/>
    <col min="330" max="331" width="7.7109375" style="2" bestFit="1" customWidth="1"/>
    <col min="332" max="332" width="8.85546875" style="2" customWidth="1"/>
    <col min="333" max="333" width="9.42578125" style="2" customWidth="1"/>
    <col min="334" max="335" width="7.7109375" style="2" bestFit="1" customWidth="1"/>
    <col min="336" max="336" width="9.140625" style="2" customWidth="1"/>
    <col min="337" max="337" width="10" style="2" customWidth="1"/>
    <col min="338" max="338" width="9.5703125" style="2" customWidth="1"/>
    <col min="339" max="339" width="9.28515625" style="2" bestFit="1" customWidth="1"/>
    <col min="340" max="340" width="9.28515625" style="2" customWidth="1"/>
    <col min="341" max="341" width="9.28515625" style="2" bestFit="1" customWidth="1"/>
    <col min="342" max="342" width="10.28515625" style="2" customWidth="1"/>
    <col min="343" max="343" width="7.7109375" style="2" bestFit="1" customWidth="1"/>
    <col min="344" max="344" width="8" style="2" customWidth="1"/>
    <col min="345" max="345" width="8.5703125" style="2" customWidth="1"/>
    <col min="346" max="346" width="9.7109375" style="2" customWidth="1"/>
    <col min="347" max="347" width="9.42578125" style="2" customWidth="1"/>
    <col min="348" max="348" width="9.140625" style="2" customWidth="1"/>
    <col min="349" max="349" width="11.42578125" style="2" customWidth="1"/>
    <col min="350" max="350" width="12.5703125" style="2" customWidth="1"/>
    <col min="351" max="351" width="10.28515625" style="2" customWidth="1"/>
    <col min="352" max="352" width="7.7109375" style="2" bestFit="1" customWidth="1"/>
    <col min="353" max="353" width="8.28515625" style="2" bestFit="1" customWidth="1"/>
    <col min="354" max="355" width="7.7109375" style="2" bestFit="1" customWidth="1"/>
    <col min="356" max="356" width="6.5703125" style="2" bestFit="1" customWidth="1"/>
    <col min="357" max="357" width="8.28515625" style="2" bestFit="1" customWidth="1"/>
    <col min="358" max="358" width="6.5703125" style="2" bestFit="1" customWidth="1"/>
    <col min="359" max="359" width="7.140625" style="2" bestFit="1" customWidth="1"/>
    <col min="360" max="360" width="7.7109375" style="2" bestFit="1" customWidth="1"/>
    <col min="361" max="361" width="8.28515625" style="2" bestFit="1" customWidth="1"/>
    <col min="362" max="364" width="7.7109375" style="2" bestFit="1" customWidth="1"/>
    <col min="365" max="365" width="8.28515625" style="2" bestFit="1" customWidth="1"/>
    <col min="366" max="367" width="7.7109375" style="2" bestFit="1" customWidth="1"/>
    <col min="368" max="369" width="9.85546875" style="2" customWidth="1"/>
    <col min="370" max="370" width="8.5703125" style="2" customWidth="1"/>
    <col min="371" max="372" width="8.85546875" style="2" customWidth="1"/>
    <col min="373" max="373" width="9.7109375" style="2" customWidth="1"/>
    <col min="374" max="374" width="8.5703125" style="2" customWidth="1"/>
    <col min="375" max="375" width="7.7109375" style="2" bestFit="1" customWidth="1"/>
    <col min="376" max="376" width="7.5703125" style="2" customWidth="1"/>
    <col min="377" max="377" width="8.28515625" style="2" bestFit="1" customWidth="1"/>
    <col min="378" max="378" width="8.28515625" style="2" customWidth="1"/>
    <col min="379" max="379" width="7.140625" style="2" bestFit="1" customWidth="1"/>
    <col min="380" max="380" width="9" style="2" customWidth="1"/>
    <col min="381" max="381" width="9.5703125" style="2" customWidth="1"/>
    <col min="382" max="382" width="9.7109375" style="2" customWidth="1"/>
    <col min="383" max="383" width="10.85546875" style="2" customWidth="1"/>
    <col min="384" max="384" width="10.42578125" style="2" customWidth="1"/>
    <col min="385" max="386" width="11.28515625" style="2" customWidth="1"/>
    <col min="387" max="387" width="11" style="2" customWidth="1"/>
    <col min="388" max="388" width="6.7109375" style="2" customWidth="1"/>
    <col min="389" max="391" width="9.85546875" style="2"/>
    <col min="392" max="392" width="13.140625" style="2" customWidth="1"/>
    <col min="393" max="469" width="9.85546875" style="2"/>
    <col min="470" max="470" width="27.5703125" style="2" customWidth="1"/>
    <col min="471" max="471" width="5.28515625" style="2" customWidth="1"/>
    <col min="472" max="473" width="9" style="2" customWidth="1"/>
    <col min="474" max="474" width="9.5703125" style="2" customWidth="1"/>
    <col min="475" max="475" width="9.7109375" style="2" customWidth="1"/>
    <col min="476" max="476" width="7.5703125" style="2" customWidth="1"/>
    <col min="477" max="477" width="10.42578125" style="2" customWidth="1"/>
    <col min="478" max="478" width="9.140625" style="2" bestFit="1" customWidth="1"/>
    <col min="479" max="479" width="7.28515625" style="2" customWidth="1"/>
    <col min="480" max="481" width="9.28515625" style="2" customWidth="1"/>
    <col min="482" max="482" width="9.5703125" style="2" customWidth="1"/>
    <col min="483" max="484" width="9" style="2" customWidth="1"/>
    <col min="485" max="485" width="8" style="2" customWidth="1"/>
    <col min="486" max="486" width="8.5703125" style="2" customWidth="1"/>
    <col min="487" max="487" width="8.28515625" style="2" customWidth="1"/>
    <col min="488" max="488" width="9.5703125" style="2" customWidth="1"/>
    <col min="489" max="489" width="8.42578125" style="2" customWidth="1"/>
    <col min="490" max="490" width="8.140625" style="2" customWidth="1"/>
    <col min="491" max="491" width="7.5703125" style="2" customWidth="1"/>
    <col min="492" max="492" width="9.140625" style="2" customWidth="1"/>
    <col min="493" max="493" width="9" style="2" customWidth="1"/>
    <col min="494" max="494" width="8.5703125" style="2" customWidth="1"/>
    <col min="495" max="495" width="7.85546875" style="2" customWidth="1"/>
    <col min="496" max="496" width="6.7109375" style="2" customWidth="1"/>
    <col min="497" max="497" width="5.7109375" style="2" customWidth="1"/>
    <col min="498" max="498" width="6.28515625" style="2" customWidth="1"/>
    <col min="499" max="499" width="6.5703125" style="2" customWidth="1"/>
    <col min="500" max="500" width="8.7109375" style="2" customWidth="1"/>
    <col min="501" max="501" width="9" style="2" customWidth="1"/>
    <col min="502" max="502" width="8.28515625" style="2" customWidth="1"/>
    <col min="503" max="503" width="8.42578125" style="2" customWidth="1"/>
    <col min="504" max="504" width="9.85546875" style="2" customWidth="1"/>
    <col min="505" max="505" width="10" style="2" customWidth="1"/>
    <col min="506" max="506" width="10.140625" style="2" customWidth="1"/>
    <col min="507" max="507" width="10.5703125" style="2" customWidth="1"/>
    <col min="508" max="508" width="8.140625" style="2" customWidth="1"/>
    <col min="509" max="509" width="7.85546875" style="2" customWidth="1"/>
    <col min="510" max="510" width="9" style="2" customWidth="1"/>
    <col min="511" max="511" width="10" style="2" customWidth="1"/>
    <col min="512" max="512" width="10.28515625" style="2" customWidth="1"/>
    <col min="513" max="513" width="10.140625" style="2" customWidth="1"/>
    <col min="514" max="514" width="10.5703125" style="2" customWidth="1"/>
    <col min="515" max="515" width="10.28515625" style="2" customWidth="1"/>
    <col min="516" max="516" width="9.7109375" style="2" customWidth="1"/>
    <col min="517" max="517" width="9.140625" style="2" bestFit="1" customWidth="1"/>
    <col min="518" max="518" width="9.28515625" style="2" customWidth="1"/>
    <col min="519" max="519" width="9" style="2" customWidth="1"/>
    <col min="520" max="520" width="8" style="2" customWidth="1"/>
    <col min="521" max="521" width="8.28515625" style="2" customWidth="1"/>
    <col min="522" max="522" width="7.85546875" style="2" customWidth="1"/>
    <col min="523" max="523" width="9" style="2" customWidth="1"/>
    <col min="524" max="524" width="8.42578125" style="2" customWidth="1"/>
    <col min="525" max="525" width="8.28515625" style="2" bestFit="1" customWidth="1"/>
    <col min="526" max="527" width="9" style="2" customWidth="1"/>
    <col min="528" max="528" width="7.140625" style="2" customWidth="1"/>
    <col min="529" max="529" width="9.140625" style="2" customWidth="1"/>
    <col min="530" max="530" width="7.7109375" style="2" customWidth="1"/>
    <col min="531" max="531" width="7.5703125" style="2" customWidth="1"/>
    <col min="532" max="532" width="10" style="2" customWidth="1"/>
    <col min="533" max="534" width="10.140625" style="2" bestFit="1" customWidth="1"/>
    <col min="535" max="535" width="12.7109375" style="2" bestFit="1" customWidth="1"/>
    <col min="536" max="536" width="9.140625" style="2" customWidth="1"/>
    <col min="537" max="537" width="9" style="2" customWidth="1"/>
    <col min="538" max="538" width="8.85546875" style="2" customWidth="1"/>
    <col min="539" max="539" width="10.42578125" style="2" customWidth="1"/>
    <col min="540" max="540" width="8.7109375" style="2" customWidth="1"/>
    <col min="541" max="541" width="8.140625" style="2" customWidth="1"/>
    <col min="542" max="542" width="7.7109375" style="2" customWidth="1"/>
    <col min="543" max="543" width="9.7109375" style="2" customWidth="1"/>
    <col min="544" max="544" width="6.5703125" style="2" bestFit="1" customWidth="1"/>
    <col min="545" max="546" width="7.5703125" style="2" customWidth="1"/>
    <col min="547" max="547" width="7.7109375" style="2" customWidth="1"/>
    <col min="548" max="549" width="9.28515625" style="2" bestFit="1" customWidth="1"/>
    <col min="550" max="550" width="9.5703125" style="2" customWidth="1"/>
    <col min="551" max="551" width="9.140625" style="2" customWidth="1"/>
    <col min="552" max="553" width="7.85546875" style="2" customWidth="1"/>
    <col min="554" max="554" width="9.42578125" style="2" customWidth="1"/>
    <col min="555" max="555" width="10" style="2" customWidth="1"/>
    <col min="556" max="556" width="6.42578125" style="2" customWidth="1"/>
    <col min="557" max="557" width="9" style="2" customWidth="1"/>
    <col min="558" max="558" width="8.85546875" style="2" customWidth="1"/>
    <col min="559" max="559" width="7.7109375" style="2" customWidth="1"/>
    <col min="560" max="560" width="9.7109375" style="2" customWidth="1"/>
    <col min="561" max="561" width="9.42578125" style="2" customWidth="1"/>
    <col min="562" max="562" width="9.85546875" style="2" customWidth="1"/>
    <col min="563" max="563" width="7.7109375" style="2" customWidth="1"/>
    <col min="564" max="564" width="8.5703125" style="2" customWidth="1"/>
    <col min="565" max="565" width="9.140625" style="2" customWidth="1"/>
    <col min="566" max="566" width="10.140625" style="2" customWidth="1"/>
    <col min="567" max="567" width="10.42578125" style="2" customWidth="1"/>
    <col min="568" max="569" width="7.85546875" style="2" customWidth="1"/>
    <col min="570" max="570" width="8.28515625" style="2" customWidth="1"/>
    <col min="571" max="571" width="10.42578125" style="2" customWidth="1"/>
    <col min="572" max="573" width="7.85546875" style="2" customWidth="1"/>
    <col min="574" max="574" width="8.28515625" style="2" customWidth="1"/>
    <col min="575" max="575" width="10.42578125" style="2" customWidth="1"/>
    <col min="576" max="576" width="8.5703125" style="2" customWidth="1"/>
    <col min="577" max="577" width="8.85546875" style="2" customWidth="1"/>
    <col min="578" max="578" width="8.7109375" style="2" customWidth="1"/>
    <col min="579" max="579" width="7.140625" style="2" bestFit="1" customWidth="1"/>
    <col min="580" max="580" width="7.7109375" style="2" bestFit="1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8.85546875" style="2" customWidth="1"/>
    <col min="585" max="585" width="9.42578125" style="2" customWidth="1"/>
    <col min="586" max="587" width="7.7109375" style="2" bestFit="1" customWidth="1"/>
    <col min="588" max="588" width="8.85546875" style="2" customWidth="1"/>
    <col min="589" max="589" width="9.42578125" style="2" customWidth="1"/>
    <col min="590" max="591" width="7.7109375" style="2" bestFit="1" customWidth="1"/>
    <col min="592" max="592" width="9.140625" style="2" customWidth="1"/>
    <col min="593" max="593" width="10" style="2" customWidth="1"/>
    <col min="594" max="594" width="9.5703125" style="2" customWidth="1"/>
    <col min="595" max="595" width="9.28515625" style="2" bestFit="1" customWidth="1"/>
    <col min="596" max="596" width="9.28515625" style="2" customWidth="1"/>
    <col min="597" max="597" width="9.28515625" style="2" bestFit="1" customWidth="1"/>
    <col min="598" max="598" width="10.28515625" style="2" customWidth="1"/>
    <col min="599" max="599" width="7.7109375" style="2" bestFit="1" customWidth="1"/>
    <col min="600" max="600" width="8" style="2" customWidth="1"/>
    <col min="601" max="601" width="8.5703125" style="2" customWidth="1"/>
    <col min="602" max="602" width="9.7109375" style="2" customWidth="1"/>
    <col min="603" max="603" width="9.42578125" style="2" customWidth="1"/>
    <col min="604" max="604" width="9.140625" style="2" customWidth="1"/>
    <col min="605" max="605" width="11.42578125" style="2" customWidth="1"/>
    <col min="606" max="606" width="12.5703125" style="2" customWidth="1"/>
    <col min="607" max="607" width="10.28515625" style="2" customWidth="1"/>
    <col min="608" max="608" width="7.7109375" style="2" bestFit="1" customWidth="1"/>
    <col min="609" max="609" width="8.28515625" style="2" bestFit="1" customWidth="1"/>
    <col min="610" max="611" width="7.7109375" style="2" bestFit="1" customWidth="1"/>
    <col min="612" max="612" width="6.5703125" style="2" bestFit="1" customWidth="1"/>
    <col min="613" max="613" width="8.28515625" style="2" bestFit="1" customWidth="1"/>
    <col min="614" max="614" width="6.5703125" style="2" bestFit="1" customWidth="1"/>
    <col min="615" max="615" width="7.140625" style="2" bestFit="1" customWidth="1"/>
    <col min="616" max="616" width="7.7109375" style="2" bestFit="1" customWidth="1"/>
    <col min="617" max="617" width="8.28515625" style="2" bestFit="1" customWidth="1"/>
    <col min="618" max="620" width="7.7109375" style="2" bestFit="1" customWidth="1"/>
    <col min="621" max="621" width="8.28515625" style="2" bestFit="1" customWidth="1"/>
    <col min="622" max="623" width="7.7109375" style="2" bestFit="1" customWidth="1"/>
    <col min="624" max="625" width="9.85546875" style="2" customWidth="1"/>
    <col min="626" max="626" width="8.5703125" style="2" customWidth="1"/>
    <col min="627" max="628" width="8.85546875" style="2" customWidth="1"/>
    <col min="629" max="629" width="9.7109375" style="2" customWidth="1"/>
    <col min="630" max="630" width="8.5703125" style="2" customWidth="1"/>
    <col min="631" max="631" width="7.7109375" style="2" bestFit="1" customWidth="1"/>
    <col min="632" max="632" width="7.5703125" style="2" customWidth="1"/>
    <col min="633" max="633" width="8.28515625" style="2" bestFit="1" customWidth="1"/>
    <col min="634" max="634" width="8.28515625" style="2" customWidth="1"/>
    <col min="635" max="635" width="7.140625" style="2" bestFit="1" customWidth="1"/>
    <col min="636" max="636" width="9" style="2" customWidth="1"/>
    <col min="637" max="637" width="9.5703125" style="2" customWidth="1"/>
    <col min="638" max="638" width="9.7109375" style="2" customWidth="1"/>
    <col min="639" max="639" width="10.85546875" style="2" customWidth="1"/>
    <col min="640" max="640" width="10.42578125" style="2" customWidth="1"/>
    <col min="641" max="642" width="11.28515625" style="2" customWidth="1"/>
    <col min="643" max="643" width="11" style="2" customWidth="1"/>
    <col min="644" max="644" width="6.7109375" style="2" customWidth="1"/>
    <col min="645" max="647" width="9.85546875" style="2"/>
    <col min="648" max="648" width="13.140625" style="2" customWidth="1"/>
    <col min="649" max="725" width="9.85546875" style="2"/>
    <col min="726" max="726" width="27.5703125" style="2" customWidth="1"/>
    <col min="727" max="727" width="5.28515625" style="2" customWidth="1"/>
    <col min="728" max="729" width="9" style="2" customWidth="1"/>
    <col min="730" max="730" width="9.5703125" style="2" customWidth="1"/>
    <col min="731" max="731" width="9.7109375" style="2" customWidth="1"/>
    <col min="732" max="732" width="7.5703125" style="2" customWidth="1"/>
    <col min="733" max="733" width="10.42578125" style="2" customWidth="1"/>
    <col min="734" max="734" width="9.140625" style="2" bestFit="1" customWidth="1"/>
    <col min="735" max="735" width="7.28515625" style="2" customWidth="1"/>
    <col min="736" max="737" width="9.28515625" style="2" customWidth="1"/>
    <col min="738" max="738" width="9.5703125" style="2" customWidth="1"/>
    <col min="739" max="740" width="9" style="2" customWidth="1"/>
    <col min="741" max="741" width="8" style="2" customWidth="1"/>
    <col min="742" max="742" width="8.5703125" style="2" customWidth="1"/>
    <col min="743" max="743" width="8.28515625" style="2" customWidth="1"/>
    <col min="744" max="744" width="9.5703125" style="2" customWidth="1"/>
    <col min="745" max="745" width="8.42578125" style="2" customWidth="1"/>
    <col min="746" max="746" width="8.140625" style="2" customWidth="1"/>
    <col min="747" max="747" width="7.5703125" style="2" customWidth="1"/>
    <col min="748" max="748" width="9.140625" style="2" customWidth="1"/>
    <col min="749" max="749" width="9" style="2" customWidth="1"/>
    <col min="750" max="750" width="8.5703125" style="2" customWidth="1"/>
    <col min="751" max="751" width="7.85546875" style="2" customWidth="1"/>
    <col min="752" max="752" width="6.7109375" style="2" customWidth="1"/>
    <col min="753" max="753" width="5.7109375" style="2" customWidth="1"/>
    <col min="754" max="754" width="6.28515625" style="2" customWidth="1"/>
    <col min="755" max="755" width="6.5703125" style="2" customWidth="1"/>
    <col min="756" max="756" width="8.7109375" style="2" customWidth="1"/>
    <col min="757" max="757" width="9" style="2" customWidth="1"/>
    <col min="758" max="758" width="8.28515625" style="2" customWidth="1"/>
    <col min="759" max="759" width="8.42578125" style="2" customWidth="1"/>
    <col min="760" max="760" width="9.85546875" style="2" customWidth="1"/>
    <col min="761" max="761" width="10" style="2" customWidth="1"/>
    <col min="762" max="762" width="10.140625" style="2" customWidth="1"/>
    <col min="763" max="763" width="10.5703125" style="2" customWidth="1"/>
    <col min="764" max="764" width="8.140625" style="2" customWidth="1"/>
    <col min="765" max="765" width="7.85546875" style="2" customWidth="1"/>
    <col min="766" max="766" width="9" style="2" customWidth="1"/>
    <col min="767" max="767" width="10" style="2" customWidth="1"/>
    <col min="768" max="768" width="10.28515625" style="2" customWidth="1"/>
    <col min="769" max="769" width="10.140625" style="2" customWidth="1"/>
    <col min="770" max="770" width="10.5703125" style="2" customWidth="1"/>
    <col min="771" max="771" width="10.28515625" style="2" customWidth="1"/>
    <col min="772" max="772" width="9.7109375" style="2" customWidth="1"/>
    <col min="773" max="773" width="9.140625" style="2" bestFit="1" customWidth="1"/>
    <col min="774" max="774" width="9.28515625" style="2" customWidth="1"/>
    <col min="775" max="775" width="9" style="2" customWidth="1"/>
    <col min="776" max="776" width="8" style="2" customWidth="1"/>
    <col min="777" max="777" width="8.28515625" style="2" customWidth="1"/>
    <col min="778" max="778" width="7.85546875" style="2" customWidth="1"/>
    <col min="779" max="779" width="9" style="2" customWidth="1"/>
    <col min="780" max="780" width="8.42578125" style="2" customWidth="1"/>
    <col min="781" max="781" width="8.28515625" style="2" bestFit="1" customWidth="1"/>
    <col min="782" max="783" width="9" style="2" customWidth="1"/>
    <col min="784" max="784" width="7.140625" style="2" customWidth="1"/>
    <col min="785" max="785" width="9.140625" style="2" customWidth="1"/>
    <col min="786" max="786" width="7.7109375" style="2" customWidth="1"/>
    <col min="787" max="787" width="7.5703125" style="2" customWidth="1"/>
    <col min="788" max="788" width="10" style="2" customWidth="1"/>
    <col min="789" max="790" width="10.140625" style="2" bestFit="1" customWidth="1"/>
    <col min="791" max="791" width="12.7109375" style="2" bestFit="1" customWidth="1"/>
    <col min="792" max="792" width="9.140625" style="2" customWidth="1"/>
    <col min="793" max="793" width="9" style="2" customWidth="1"/>
    <col min="794" max="794" width="8.85546875" style="2" customWidth="1"/>
    <col min="795" max="795" width="10.42578125" style="2" customWidth="1"/>
    <col min="796" max="796" width="8.7109375" style="2" customWidth="1"/>
    <col min="797" max="797" width="8.140625" style="2" customWidth="1"/>
    <col min="798" max="798" width="7.7109375" style="2" customWidth="1"/>
    <col min="799" max="799" width="9.7109375" style="2" customWidth="1"/>
    <col min="800" max="800" width="6.5703125" style="2" bestFit="1" customWidth="1"/>
    <col min="801" max="802" width="7.5703125" style="2" customWidth="1"/>
    <col min="803" max="803" width="7.7109375" style="2" customWidth="1"/>
    <col min="804" max="805" width="9.28515625" style="2" bestFit="1" customWidth="1"/>
    <col min="806" max="806" width="9.5703125" style="2" customWidth="1"/>
    <col min="807" max="807" width="9.140625" style="2" customWidth="1"/>
    <col min="808" max="809" width="7.85546875" style="2" customWidth="1"/>
    <col min="810" max="810" width="9.42578125" style="2" customWidth="1"/>
    <col min="811" max="811" width="10" style="2" customWidth="1"/>
    <col min="812" max="812" width="6.42578125" style="2" customWidth="1"/>
    <col min="813" max="813" width="9" style="2" customWidth="1"/>
    <col min="814" max="814" width="8.85546875" style="2" customWidth="1"/>
    <col min="815" max="815" width="7.7109375" style="2" customWidth="1"/>
    <col min="816" max="816" width="9.7109375" style="2" customWidth="1"/>
    <col min="817" max="817" width="9.42578125" style="2" customWidth="1"/>
    <col min="818" max="818" width="9.85546875" style="2" customWidth="1"/>
    <col min="819" max="819" width="7.7109375" style="2" customWidth="1"/>
    <col min="820" max="820" width="8.5703125" style="2" customWidth="1"/>
    <col min="821" max="821" width="9.140625" style="2" customWidth="1"/>
    <col min="822" max="822" width="10.140625" style="2" customWidth="1"/>
    <col min="823" max="823" width="10.42578125" style="2" customWidth="1"/>
    <col min="824" max="825" width="7.85546875" style="2" customWidth="1"/>
    <col min="826" max="826" width="8.28515625" style="2" customWidth="1"/>
    <col min="827" max="827" width="10.42578125" style="2" customWidth="1"/>
    <col min="828" max="829" width="7.85546875" style="2" customWidth="1"/>
    <col min="830" max="830" width="8.28515625" style="2" customWidth="1"/>
    <col min="831" max="831" width="10.42578125" style="2" customWidth="1"/>
    <col min="832" max="832" width="8.5703125" style="2" customWidth="1"/>
    <col min="833" max="833" width="8.85546875" style="2" customWidth="1"/>
    <col min="834" max="834" width="8.7109375" style="2" customWidth="1"/>
    <col min="835" max="835" width="7.140625" style="2" bestFit="1" customWidth="1"/>
    <col min="836" max="836" width="7.7109375" style="2" bestFit="1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8.85546875" style="2" customWidth="1"/>
    <col min="841" max="841" width="9.42578125" style="2" customWidth="1"/>
    <col min="842" max="843" width="7.7109375" style="2" bestFit="1" customWidth="1"/>
    <col min="844" max="844" width="8.85546875" style="2" customWidth="1"/>
    <col min="845" max="845" width="9.42578125" style="2" customWidth="1"/>
    <col min="846" max="847" width="7.7109375" style="2" bestFit="1" customWidth="1"/>
    <col min="848" max="848" width="9.140625" style="2" customWidth="1"/>
    <col min="849" max="849" width="10" style="2" customWidth="1"/>
    <col min="850" max="850" width="9.5703125" style="2" customWidth="1"/>
    <col min="851" max="851" width="9.28515625" style="2" bestFit="1" customWidth="1"/>
    <col min="852" max="852" width="9.28515625" style="2" customWidth="1"/>
    <col min="853" max="853" width="9.28515625" style="2" bestFit="1" customWidth="1"/>
    <col min="854" max="854" width="10.28515625" style="2" customWidth="1"/>
    <col min="855" max="855" width="7.7109375" style="2" bestFit="1" customWidth="1"/>
    <col min="856" max="856" width="8" style="2" customWidth="1"/>
    <col min="857" max="857" width="8.5703125" style="2" customWidth="1"/>
    <col min="858" max="858" width="9.7109375" style="2" customWidth="1"/>
    <col min="859" max="859" width="9.42578125" style="2" customWidth="1"/>
    <col min="860" max="860" width="9.140625" style="2" customWidth="1"/>
    <col min="861" max="861" width="11.42578125" style="2" customWidth="1"/>
    <col min="862" max="862" width="12.5703125" style="2" customWidth="1"/>
    <col min="863" max="863" width="10.28515625" style="2" customWidth="1"/>
    <col min="864" max="864" width="7.7109375" style="2" bestFit="1" customWidth="1"/>
    <col min="865" max="865" width="8.28515625" style="2" bestFit="1" customWidth="1"/>
    <col min="866" max="867" width="7.7109375" style="2" bestFit="1" customWidth="1"/>
    <col min="868" max="868" width="6.5703125" style="2" bestFit="1" customWidth="1"/>
    <col min="869" max="869" width="8.28515625" style="2" bestFit="1" customWidth="1"/>
    <col min="870" max="870" width="6.5703125" style="2" bestFit="1" customWidth="1"/>
    <col min="871" max="871" width="7.140625" style="2" bestFit="1" customWidth="1"/>
    <col min="872" max="872" width="7.7109375" style="2" bestFit="1" customWidth="1"/>
    <col min="873" max="873" width="8.28515625" style="2" bestFit="1" customWidth="1"/>
    <col min="874" max="876" width="7.7109375" style="2" bestFit="1" customWidth="1"/>
    <col min="877" max="877" width="8.28515625" style="2" bestFit="1" customWidth="1"/>
    <col min="878" max="879" width="7.7109375" style="2" bestFit="1" customWidth="1"/>
    <col min="880" max="881" width="9.85546875" style="2" customWidth="1"/>
    <col min="882" max="882" width="8.5703125" style="2" customWidth="1"/>
    <col min="883" max="884" width="8.85546875" style="2" customWidth="1"/>
    <col min="885" max="885" width="9.7109375" style="2" customWidth="1"/>
    <col min="886" max="886" width="8.5703125" style="2" customWidth="1"/>
    <col min="887" max="887" width="7.7109375" style="2" bestFit="1" customWidth="1"/>
    <col min="888" max="888" width="7.5703125" style="2" customWidth="1"/>
    <col min="889" max="889" width="8.28515625" style="2" bestFit="1" customWidth="1"/>
    <col min="890" max="890" width="8.28515625" style="2" customWidth="1"/>
    <col min="891" max="891" width="7.140625" style="2" bestFit="1" customWidth="1"/>
    <col min="892" max="892" width="9" style="2" customWidth="1"/>
    <col min="893" max="893" width="9.5703125" style="2" customWidth="1"/>
    <col min="894" max="894" width="9.7109375" style="2" customWidth="1"/>
    <col min="895" max="895" width="10.85546875" style="2" customWidth="1"/>
    <col min="896" max="896" width="10.42578125" style="2" customWidth="1"/>
    <col min="897" max="898" width="11.28515625" style="2" customWidth="1"/>
    <col min="899" max="899" width="11" style="2" customWidth="1"/>
    <col min="900" max="900" width="6.7109375" style="2" customWidth="1"/>
    <col min="901" max="903" width="9.85546875" style="2"/>
    <col min="904" max="904" width="13.140625" style="2" customWidth="1"/>
    <col min="905" max="981" width="9.85546875" style="2"/>
    <col min="982" max="982" width="27.5703125" style="2" customWidth="1"/>
    <col min="983" max="983" width="5.28515625" style="2" customWidth="1"/>
    <col min="984" max="985" width="9" style="2" customWidth="1"/>
    <col min="986" max="986" width="9.5703125" style="2" customWidth="1"/>
    <col min="987" max="987" width="9.7109375" style="2" customWidth="1"/>
    <col min="988" max="988" width="7.5703125" style="2" customWidth="1"/>
    <col min="989" max="989" width="10.42578125" style="2" customWidth="1"/>
    <col min="990" max="990" width="9.140625" style="2" bestFit="1" customWidth="1"/>
    <col min="991" max="991" width="7.28515625" style="2" customWidth="1"/>
    <col min="992" max="993" width="9.28515625" style="2" customWidth="1"/>
    <col min="994" max="994" width="9.5703125" style="2" customWidth="1"/>
    <col min="995" max="996" width="9" style="2" customWidth="1"/>
    <col min="997" max="997" width="8" style="2" customWidth="1"/>
    <col min="998" max="998" width="8.5703125" style="2" customWidth="1"/>
    <col min="999" max="999" width="8.28515625" style="2" customWidth="1"/>
    <col min="1000" max="1000" width="9.5703125" style="2" customWidth="1"/>
    <col min="1001" max="1001" width="8.42578125" style="2" customWidth="1"/>
    <col min="1002" max="1002" width="8.140625" style="2" customWidth="1"/>
    <col min="1003" max="1003" width="7.5703125" style="2" customWidth="1"/>
    <col min="1004" max="1004" width="9.140625" style="2" customWidth="1"/>
    <col min="1005" max="1005" width="9" style="2" customWidth="1"/>
    <col min="1006" max="1006" width="8.5703125" style="2" customWidth="1"/>
    <col min="1007" max="1007" width="7.85546875" style="2" customWidth="1"/>
    <col min="1008" max="1008" width="6.7109375" style="2" customWidth="1"/>
    <col min="1009" max="1009" width="5.7109375" style="2" customWidth="1"/>
    <col min="1010" max="1010" width="6.28515625" style="2" customWidth="1"/>
    <col min="1011" max="1011" width="6.5703125" style="2" customWidth="1"/>
    <col min="1012" max="1012" width="8.7109375" style="2" customWidth="1"/>
    <col min="1013" max="1013" width="9" style="2" customWidth="1"/>
    <col min="1014" max="1014" width="8.28515625" style="2" customWidth="1"/>
    <col min="1015" max="1015" width="8.42578125" style="2" customWidth="1"/>
    <col min="1016" max="1016" width="9.85546875" style="2" customWidth="1"/>
    <col min="1017" max="1017" width="10" style="2" customWidth="1"/>
    <col min="1018" max="1018" width="10.140625" style="2" customWidth="1"/>
    <col min="1019" max="1019" width="10.5703125" style="2" customWidth="1"/>
    <col min="1020" max="1020" width="8.140625" style="2" customWidth="1"/>
    <col min="1021" max="1021" width="7.85546875" style="2" customWidth="1"/>
    <col min="1022" max="1022" width="9" style="2" customWidth="1"/>
    <col min="1023" max="1023" width="10" style="2" customWidth="1"/>
    <col min="1024" max="1024" width="10.28515625" style="2" customWidth="1"/>
    <col min="1025" max="1025" width="10.140625" style="2" customWidth="1"/>
    <col min="1026" max="1026" width="10.5703125" style="2" customWidth="1"/>
    <col min="1027" max="1027" width="10.28515625" style="2" customWidth="1"/>
    <col min="1028" max="1028" width="9.7109375" style="2" customWidth="1"/>
    <col min="1029" max="1029" width="9.140625" style="2" bestFit="1" customWidth="1"/>
    <col min="1030" max="1030" width="9.28515625" style="2" customWidth="1"/>
    <col min="1031" max="1031" width="9" style="2" customWidth="1"/>
    <col min="1032" max="1032" width="8" style="2" customWidth="1"/>
    <col min="1033" max="1033" width="8.28515625" style="2" customWidth="1"/>
    <col min="1034" max="1034" width="7.85546875" style="2" customWidth="1"/>
    <col min="1035" max="1035" width="9" style="2" customWidth="1"/>
    <col min="1036" max="1036" width="8.42578125" style="2" customWidth="1"/>
    <col min="1037" max="1037" width="8.28515625" style="2" bestFit="1" customWidth="1"/>
    <col min="1038" max="1039" width="9" style="2" customWidth="1"/>
    <col min="1040" max="1040" width="7.140625" style="2" customWidth="1"/>
    <col min="1041" max="1041" width="9.140625" style="2" customWidth="1"/>
    <col min="1042" max="1042" width="7.7109375" style="2" customWidth="1"/>
    <col min="1043" max="1043" width="7.5703125" style="2" customWidth="1"/>
    <col min="1044" max="1044" width="10" style="2" customWidth="1"/>
    <col min="1045" max="1046" width="10.140625" style="2" bestFit="1" customWidth="1"/>
    <col min="1047" max="1047" width="12.7109375" style="2" bestFit="1" customWidth="1"/>
    <col min="1048" max="1048" width="9.140625" style="2" customWidth="1"/>
    <col min="1049" max="1049" width="9" style="2" customWidth="1"/>
    <col min="1050" max="1050" width="8.85546875" style="2" customWidth="1"/>
    <col min="1051" max="1051" width="10.42578125" style="2" customWidth="1"/>
    <col min="1052" max="1052" width="8.7109375" style="2" customWidth="1"/>
    <col min="1053" max="1053" width="8.140625" style="2" customWidth="1"/>
    <col min="1054" max="1054" width="7.7109375" style="2" customWidth="1"/>
    <col min="1055" max="1055" width="9.7109375" style="2" customWidth="1"/>
    <col min="1056" max="1056" width="6.5703125" style="2" bestFit="1" customWidth="1"/>
    <col min="1057" max="1058" width="7.5703125" style="2" customWidth="1"/>
    <col min="1059" max="1059" width="7.7109375" style="2" customWidth="1"/>
    <col min="1060" max="1061" width="9.28515625" style="2" bestFit="1" customWidth="1"/>
    <col min="1062" max="1062" width="9.5703125" style="2" customWidth="1"/>
    <col min="1063" max="1063" width="9.140625" style="2" customWidth="1"/>
    <col min="1064" max="1065" width="7.85546875" style="2" customWidth="1"/>
    <col min="1066" max="1066" width="9.42578125" style="2" customWidth="1"/>
    <col min="1067" max="1067" width="10" style="2" customWidth="1"/>
    <col min="1068" max="1068" width="6.42578125" style="2" customWidth="1"/>
    <col min="1069" max="1069" width="9" style="2" customWidth="1"/>
    <col min="1070" max="1070" width="8.85546875" style="2" customWidth="1"/>
    <col min="1071" max="1071" width="7.7109375" style="2" customWidth="1"/>
    <col min="1072" max="1072" width="9.7109375" style="2" customWidth="1"/>
    <col min="1073" max="1073" width="9.42578125" style="2" customWidth="1"/>
    <col min="1074" max="1074" width="9.85546875" style="2" customWidth="1"/>
    <col min="1075" max="1075" width="7.7109375" style="2" customWidth="1"/>
    <col min="1076" max="1076" width="8.5703125" style="2" customWidth="1"/>
    <col min="1077" max="1077" width="9.140625" style="2" customWidth="1"/>
    <col min="1078" max="1078" width="10.140625" style="2" customWidth="1"/>
    <col min="1079" max="1079" width="10.42578125" style="2" customWidth="1"/>
    <col min="1080" max="1081" width="7.85546875" style="2" customWidth="1"/>
    <col min="1082" max="1082" width="8.28515625" style="2" customWidth="1"/>
    <col min="1083" max="1083" width="10.42578125" style="2" customWidth="1"/>
    <col min="1084" max="1085" width="7.85546875" style="2" customWidth="1"/>
    <col min="1086" max="1086" width="8.28515625" style="2" customWidth="1"/>
    <col min="1087" max="1087" width="10.42578125" style="2" customWidth="1"/>
    <col min="1088" max="1088" width="8.5703125" style="2" customWidth="1"/>
    <col min="1089" max="1089" width="8.85546875" style="2" customWidth="1"/>
    <col min="1090" max="1090" width="8.7109375" style="2" customWidth="1"/>
    <col min="1091" max="1091" width="7.140625" style="2" bestFit="1" customWidth="1"/>
    <col min="1092" max="1092" width="7.7109375" style="2" bestFit="1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8.85546875" style="2" customWidth="1"/>
    <col min="1097" max="1097" width="9.42578125" style="2" customWidth="1"/>
    <col min="1098" max="1099" width="7.7109375" style="2" bestFit="1" customWidth="1"/>
    <col min="1100" max="1100" width="8.85546875" style="2" customWidth="1"/>
    <col min="1101" max="1101" width="9.42578125" style="2" customWidth="1"/>
    <col min="1102" max="1103" width="7.7109375" style="2" bestFit="1" customWidth="1"/>
    <col min="1104" max="1104" width="9.140625" style="2" customWidth="1"/>
    <col min="1105" max="1105" width="10" style="2" customWidth="1"/>
    <col min="1106" max="1106" width="9.5703125" style="2" customWidth="1"/>
    <col min="1107" max="1107" width="9.28515625" style="2" bestFit="1" customWidth="1"/>
    <col min="1108" max="1108" width="9.28515625" style="2" customWidth="1"/>
    <col min="1109" max="1109" width="9.28515625" style="2" bestFit="1" customWidth="1"/>
    <col min="1110" max="1110" width="10.28515625" style="2" customWidth="1"/>
    <col min="1111" max="1111" width="7.7109375" style="2" bestFit="1" customWidth="1"/>
    <col min="1112" max="1112" width="8" style="2" customWidth="1"/>
    <col min="1113" max="1113" width="8.5703125" style="2" customWidth="1"/>
    <col min="1114" max="1114" width="9.7109375" style="2" customWidth="1"/>
    <col min="1115" max="1115" width="9.42578125" style="2" customWidth="1"/>
    <col min="1116" max="1116" width="9.140625" style="2" customWidth="1"/>
    <col min="1117" max="1117" width="11.42578125" style="2" customWidth="1"/>
    <col min="1118" max="1118" width="12.5703125" style="2" customWidth="1"/>
    <col min="1119" max="1119" width="10.28515625" style="2" customWidth="1"/>
    <col min="1120" max="1120" width="7.7109375" style="2" bestFit="1" customWidth="1"/>
    <col min="1121" max="1121" width="8.28515625" style="2" bestFit="1" customWidth="1"/>
    <col min="1122" max="1123" width="7.7109375" style="2" bestFit="1" customWidth="1"/>
    <col min="1124" max="1124" width="6.5703125" style="2" bestFit="1" customWidth="1"/>
    <col min="1125" max="1125" width="8.28515625" style="2" bestFit="1" customWidth="1"/>
    <col min="1126" max="1126" width="6.5703125" style="2" bestFit="1" customWidth="1"/>
    <col min="1127" max="1127" width="7.140625" style="2" bestFit="1" customWidth="1"/>
    <col min="1128" max="1128" width="7.7109375" style="2" bestFit="1" customWidth="1"/>
    <col min="1129" max="1129" width="8.28515625" style="2" bestFit="1" customWidth="1"/>
    <col min="1130" max="1132" width="7.7109375" style="2" bestFit="1" customWidth="1"/>
    <col min="1133" max="1133" width="8.28515625" style="2" bestFit="1" customWidth="1"/>
    <col min="1134" max="1135" width="7.7109375" style="2" bestFit="1" customWidth="1"/>
    <col min="1136" max="1137" width="9.85546875" style="2" customWidth="1"/>
    <col min="1138" max="1138" width="8.5703125" style="2" customWidth="1"/>
    <col min="1139" max="1140" width="8.85546875" style="2" customWidth="1"/>
    <col min="1141" max="1141" width="9.7109375" style="2" customWidth="1"/>
    <col min="1142" max="1142" width="8.5703125" style="2" customWidth="1"/>
    <col min="1143" max="1143" width="7.7109375" style="2" bestFit="1" customWidth="1"/>
    <col min="1144" max="1144" width="7.5703125" style="2" customWidth="1"/>
    <col min="1145" max="1145" width="8.28515625" style="2" bestFit="1" customWidth="1"/>
    <col min="1146" max="1146" width="8.28515625" style="2" customWidth="1"/>
    <col min="1147" max="1147" width="7.140625" style="2" bestFit="1" customWidth="1"/>
    <col min="1148" max="1148" width="9" style="2" customWidth="1"/>
    <col min="1149" max="1149" width="9.5703125" style="2" customWidth="1"/>
    <col min="1150" max="1150" width="9.7109375" style="2" customWidth="1"/>
    <col min="1151" max="1151" width="10.85546875" style="2" customWidth="1"/>
    <col min="1152" max="1152" width="10.42578125" style="2" customWidth="1"/>
    <col min="1153" max="1154" width="11.28515625" style="2" customWidth="1"/>
    <col min="1155" max="1155" width="11" style="2" customWidth="1"/>
    <col min="1156" max="1156" width="6.7109375" style="2" customWidth="1"/>
    <col min="1157" max="1159" width="9.85546875" style="2"/>
    <col min="1160" max="1160" width="13.140625" style="2" customWidth="1"/>
    <col min="1161" max="1237" width="9.85546875" style="2"/>
    <col min="1238" max="1238" width="27.5703125" style="2" customWidth="1"/>
    <col min="1239" max="1239" width="5.28515625" style="2" customWidth="1"/>
    <col min="1240" max="1241" width="9" style="2" customWidth="1"/>
    <col min="1242" max="1242" width="9.5703125" style="2" customWidth="1"/>
    <col min="1243" max="1243" width="9.7109375" style="2" customWidth="1"/>
    <col min="1244" max="1244" width="7.5703125" style="2" customWidth="1"/>
    <col min="1245" max="1245" width="10.42578125" style="2" customWidth="1"/>
    <col min="1246" max="1246" width="9.140625" style="2" bestFit="1" customWidth="1"/>
    <col min="1247" max="1247" width="7.28515625" style="2" customWidth="1"/>
    <col min="1248" max="1249" width="9.28515625" style="2" customWidth="1"/>
    <col min="1250" max="1250" width="9.5703125" style="2" customWidth="1"/>
    <col min="1251" max="1252" width="9" style="2" customWidth="1"/>
    <col min="1253" max="1253" width="8" style="2" customWidth="1"/>
    <col min="1254" max="1254" width="8.5703125" style="2" customWidth="1"/>
    <col min="1255" max="1255" width="8.28515625" style="2" customWidth="1"/>
    <col min="1256" max="1256" width="9.5703125" style="2" customWidth="1"/>
    <col min="1257" max="1257" width="8.42578125" style="2" customWidth="1"/>
    <col min="1258" max="1258" width="8.140625" style="2" customWidth="1"/>
    <col min="1259" max="1259" width="7.5703125" style="2" customWidth="1"/>
    <col min="1260" max="1260" width="9.140625" style="2" customWidth="1"/>
    <col min="1261" max="1261" width="9" style="2" customWidth="1"/>
    <col min="1262" max="1262" width="8.5703125" style="2" customWidth="1"/>
    <col min="1263" max="1263" width="7.85546875" style="2" customWidth="1"/>
    <col min="1264" max="1264" width="6.7109375" style="2" customWidth="1"/>
    <col min="1265" max="1265" width="5.7109375" style="2" customWidth="1"/>
    <col min="1266" max="1266" width="6.28515625" style="2" customWidth="1"/>
    <col min="1267" max="1267" width="6.5703125" style="2" customWidth="1"/>
    <col min="1268" max="1268" width="8.7109375" style="2" customWidth="1"/>
    <col min="1269" max="1269" width="9" style="2" customWidth="1"/>
    <col min="1270" max="1270" width="8.28515625" style="2" customWidth="1"/>
    <col min="1271" max="1271" width="8.42578125" style="2" customWidth="1"/>
    <col min="1272" max="1272" width="9.85546875" style="2" customWidth="1"/>
    <col min="1273" max="1273" width="10" style="2" customWidth="1"/>
    <col min="1274" max="1274" width="10.140625" style="2" customWidth="1"/>
    <col min="1275" max="1275" width="10.5703125" style="2" customWidth="1"/>
    <col min="1276" max="1276" width="8.140625" style="2" customWidth="1"/>
    <col min="1277" max="1277" width="7.85546875" style="2" customWidth="1"/>
    <col min="1278" max="1278" width="9" style="2" customWidth="1"/>
    <col min="1279" max="1279" width="10" style="2" customWidth="1"/>
    <col min="1280" max="1280" width="10.28515625" style="2" customWidth="1"/>
    <col min="1281" max="1281" width="10.140625" style="2" customWidth="1"/>
    <col min="1282" max="1282" width="10.5703125" style="2" customWidth="1"/>
    <col min="1283" max="1283" width="10.28515625" style="2" customWidth="1"/>
    <col min="1284" max="1284" width="9.7109375" style="2" customWidth="1"/>
    <col min="1285" max="1285" width="9.140625" style="2" bestFit="1" customWidth="1"/>
    <col min="1286" max="1286" width="9.28515625" style="2" customWidth="1"/>
    <col min="1287" max="1287" width="9" style="2" customWidth="1"/>
    <col min="1288" max="1288" width="8" style="2" customWidth="1"/>
    <col min="1289" max="1289" width="8.28515625" style="2" customWidth="1"/>
    <col min="1290" max="1290" width="7.85546875" style="2" customWidth="1"/>
    <col min="1291" max="1291" width="9" style="2" customWidth="1"/>
    <col min="1292" max="1292" width="8.42578125" style="2" customWidth="1"/>
    <col min="1293" max="1293" width="8.28515625" style="2" bestFit="1" customWidth="1"/>
    <col min="1294" max="1295" width="9" style="2" customWidth="1"/>
    <col min="1296" max="1296" width="7.140625" style="2" customWidth="1"/>
    <col min="1297" max="1297" width="9.140625" style="2" customWidth="1"/>
    <col min="1298" max="1298" width="7.7109375" style="2" customWidth="1"/>
    <col min="1299" max="1299" width="7.5703125" style="2" customWidth="1"/>
    <col min="1300" max="1300" width="10" style="2" customWidth="1"/>
    <col min="1301" max="1302" width="10.140625" style="2" bestFit="1" customWidth="1"/>
    <col min="1303" max="1303" width="12.7109375" style="2" bestFit="1" customWidth="1"/>
    <col min="1304" max="1304" width="9.140625" style="2" customWidth="1"/>
    <col min="1305" max="1305" width="9" style="2" customWidth="1"/>
    <col min="1306" max="1306" width="8.85546875" style="2" customWidth="1"/>
    <col min="1307" max="1307" width="10.42578125" style="2" customWidth="1"/>
    <col min="1308" max="1308" width="8.7109375" style="2" customWidth="1"/>
    <col min="1309" max="1309" width="8.140625" style="2" customWidth="1"/>
    <col min="1310" max="1310" width="7.7109375" style="2" customWidth="1"/>
    <col min="1311" max="1311" width="9.7109375" style="2" customWidth="1"/>
    <col min="1312" max="1312" width="6.5703125" style="2" bestFit="1" customWidth="1"/>
    <col min="1313" max="1314" width="7.5703125" style="2" customWidth="1"/>
    <col min="1315" max="1315" width="7.7109375" style="2" customWidth="1"/>
    <col min="1316" max="1317" width="9.28515625" style="2" bestFit="1" customWidth="1"/>
    <col min="1318" max="1318" width="9.5703125" style="2" customWidth="1"/>
    <col min="1319" max="1319" width="9.140625" style="2" customWidth="1"/>
    <col min="1320" max="1321" width="7.85546875" style="2" customWidth="1"/>
    <col min="1322" max="1322" width="9.42578125" style="2" customWidth="1"/>
    <col min="1323" max="1323" width="10" style="2" customWidth="1"/>
    <col min="1324" max="1324" width="6.42578125" style="2" customWidth="1"/>
    <col min="1325" max="1325" width="9" style="2" customWidth="1"/>
    <col min="1326" max="1326" width="8.85546875" style="2" customWidth="1"/>
    <col min="1327" max="1327" width="7.7109375" style="2" customWidth="1"/>
    <col min="1328" max="1328" width="9.7109375" style="2" customWidth="1"/>
    <col min="1329" max="1329" width="9.42578125" style="2" customWidth="1"/>
    <col min="1330" max="1330" width="9.85546875" style="2" customWidth="1"/>
    <col min="1331" max="1331" width="7.7109375" style="2" customWidth="1"/>
    <col min="1332" max="1332" width="8.5703125" style="2" customWidth="1"/>
    <col min="1333" max="1333" width="9.140625" style="2" customWidth="1"/>
    <col min="1334" max="1334" width="10.140625" style="2" customWidth="1"/>
    <col min="1335" max="1335" width="10.42578125" style="2" customWidth="1"/>
    <col min="1336" max="1337" width="7.85546875" style="2" customWidth="1"/>
    <col min="1338" max="1338" width="8.28515625" style="2" customWidth="1"/>
    <col min="1339" max="1339" width="10.42578125" style="2" customWidth="1"/>
    <col min="1340" max="1341" width="7.85546875" style="2" customWidth="1"/>
    <col min="1342" max="1342" width="8.28515625" style="2" customWidth="1"/>
    <col min="1343" max="1343" width="10.42578125" style="2" customWidth="1"/>
    <col min="1344" max="1344" width="8.5703125" style="2" customWidth="1"/>
    <col min="1345" max="1345" width="8.85546875" style="2" customWidth="1"/>
    <col min="1346" max="1346" width="8.7109375" style="2" customWidth="1"/>
    <col min="1347" max="1347" width="7.140625" style="2" bestFit="1" customWidth="1"/>
    <col min="1348" max="1348" width="7.7109375" style="2" bestFit="1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8.85546875" style="2" customWidth="1"/>
    <col min="1353" max="1353" width="9.42578125" style="2" customWidth="1"/>
    <col min="1354" max="1355" width="7.7109375" style="2" bestFit="1" customWidth="1"/>
    <col min="1356" max="1356" width="8.85546875" style="2" customWidth="1"/>
    <col min="1357" max="1357" width="9.42578125" style="2" customWidth="1"/>
    <col min="1358" max="1359" width="7.7109375" style="2" bestFit="1" customWidth="1"/>
    <col min="1360" max="1360" width="9.140625" style="2" customWidth="1"/>
    <col min="1361" max="1361" width="10" style="2" customWidth="1"/>
    <col min="1362" max="1362" width="9.5703125" style="2" customWidth="1"/>
    <col min="1363" max="1363" width="9.28515625" style="2" bestFit="1" customWidth="1"/>
    <col min="1364" max="1364" width="9.28515625" style="2" customWidth="1"/>
    <col min="1365" max="1365" width="9.28515625" style="2" bestFit="1" customWidth="1"/>
    <col min="1366" max="1366" width="10.28515625" style="2" customWidth="1"/>
    <col min="1367" max="1367" width="7.7109375" style="2" bestFit="1" customWidth="1"/>
    <col min="1368" max="1368" width="8" style="2" customWidth="1"/>
    <col min="1369" max="1369" width="8.5703125" style="2" customWidth="1"/>
    <col min="1370" max="1370" width="9.7109375" style="2" customWidth="1"/>
    <col min="1371" max="1371" width="9.42578125" style="2" customWidth="1"/>
    <col min="1372" max="1372" width="9.140625" style="2" customWidth="1"/>
    <col min="1373" max="1373" width="11.42578125" style="2" customWidth="1"/>
    <col min="1374" max="1374" width="12.5703125" style="2" customWidth="1"/>
    <col min="1375" max="1375" width="10.28515625" style="2" customWidth="1"/>
    <col min="1376" max="1376" width="7.7109375" style="2" bestFit="1" customWidth="1"/>
    <col min="1377" max="1377" width="8.28515625" style="2" bestFit="1" customWidth="1"/>
    <col min="1378" max="1379" width="7.7109375" style="2" bestFit="1" customWidth="1"/>
    <col min="1380" max="1380" width="6.5703125" style="2" bestFit="1" customWidth="1"/>
    <col min="1381" max="1381" width="8.28515625" style="2" bestFit="1" customWidth="1"/>
    <col min="1382" max="1382" width="6.5703125" style="2" bestFit="1" customWidth="1"/>
    <col min="1383" max="1383" width="7.140625" style="2" bestFit="1" customWidth="1"/>
    <col min="1384" max="1384" width="7.7109375" style="2" bestFit="1" customWidth="1"/>
    <col min="1385" max="1385" width="8.28515625" style="2" bestFit="1" customWidth="1"/>
    <col min="1386" max="1388" width="7.7109375" style="2" bestFit="1" customWidth="1"/>
    <col min="1389" max="1389" width="8.28515625" style="2" bestFit="1" customWidth="1"/>
    <col min="1390" max="1391" width="7.7109375" style="2" bestFit="1" customWidth="1"/>
    <col min="1392" max="1393" width="9.85546875" style="2" customWidth="1"/>
    <col min="1394" max="1394" width="8.5703125" style="2" customWidth="1"/>
    <col min="1395" max="1396" width="8.85546875" style="2" customWidth="1"/>
    <col min="1397" max="1397" width="9.7109375" style="2" customWidth="1"/>
    <col min="1398" max="1398" width="8.5703125" style="2" customWidth="1"/>
    <col min="1399" max="1399" width="7.7109375" style="2" bestFit="1" customWidth="1"/>
    <col min="1400" max="1400" width="7.5703125" style="2" customWidth="1"/>
    <col min="1401" max="1401" width="8.28515625" style="2" bestFit="1" customWidth="1"/>
    <col min="1402" max="1402" width="8.28515625" style="2" customWidth="1"/>
    <col min="1403" max="1403" width="7.140625" style="2" bestFit="1" customWidth="1"/>
    <col min="1404" max="1404" width="9" style="2" customWidth="1"/>
    <col min="1405" max="1405" width="9.5703125" style="2" customWidth="1"/>
    <col min="1406" max="1406" width="9.7109375" style="2" customWidth="1"/>
    <col min="1407" max="1407" width="10.85546875" style="2" customWidth="1"/>
    <col min="1408" max="1408" width="10.42578125" style="2" customWidth="1"/>
    <col min="1409" max="1410" width="11.28515625" style="2" customWidth="1"/>
    <col min="1411" max="1411" width="11" style="2" customWidth="1"/>
    <col min="1412" max="1412" width="6.7109375" style="2" customWidth="1"/>
    <col min="1413" max="1415" width="9.85546875" style="2"/>
    <col min="1416" max="1416" width="13.140625" style="2" customWidth="1"/>
    <col min="1417" max="1493" width="9.85546875" style="2"/>
    <col min="1494" max="1494" width="27.5703125" style="2" customWidth="1"/>
    <col min="1495" max="1495" width="5.28515625" style="2" customWidth="1"/>
    <col min="1496" max="1497" width="9" style="2" customWidth="1"/>
    <col min="1498" max="1498" width="9.5703125" style="2" customWidth="1"/>
    <col min="1499" max="1499" width="9.7109375" style="2" customWidth="1"/>
    <col min="1500" max="1500" width="7.5703125" style="2" customWidth="1"/>
    <col min="1501" max="1501" width="10.42578125" style="2" customWidth="1"/>
    <col min="1502" max="1502" width="9.140625" style="2" bestFit="1" customWidth="1"/>
    <col min="1503" max="1503" width="7.28515625" style="2" customWidth="1"/>
    <col min="1504" max="1505" width="9.28515625" style="2" customWidth="1"/>
    <col min="1506" max="1506" width="9.5703125" style="2" customWidth="1"/>
    <col min="1507" max="1508" width="9" style="2" customWidth="1"/>
    <col min="1509" max="1509" width="8" style="2" customWidth="1"/>
    <col min="1510" max="1510" width="8.5703125" style="2" customWidth="1"/>
    <col min="1511" max="1511" width="8.28515625" style="2" customWidth="1"/>
    <col min="1512" max="1512" width="9.5703125" style="2" customWidth="1"/>
    <col min="1513" max="1513" width="8.42578125" style="2" customWidth="1"/>
    <col min="1514" max="1514" width="8.140625" style="2" customWidth="1"/>
    <col min="1515" max="1515" width="7.5703125" style="2" customWidth="1"/>
    <col min="1516" max="1516" width="9.140625" style="2" customWidth="1"/>
    <col min="1517" max="1517" width="9" style="2" customWidth="1"/>
    <col min="1518" max="1518" width="8.5703125" style="2" customWidth="1"/>
    <col min="1519" max="1519" width="7.85546875" style="2" customWidth="1"/>
    <col min="1520" max="1520" width="6.7109375" style="2" customWidth="1"/>
    <col min="1521" max="1521" width="5.7109375" style="2" customWidth="1"/>
    <col min="1522" max="1522" width="6.28515625" style="2" customWidth="1"/>
    <col min="1523" max="1523" width="6.5703125" style="2" customWidth="1"/>
    <col min="1524" max="1524" width="8.7109375" style="2" customWidth="1"/>
    <col min="1525" max="1525" width="9" style="2" customWidth="1"/>
    <col min="1526" max="1526" width="8.28515625" style="2" customWidth="1"/>
    <col min="1527" max="1527" width="8.42578125" style="2" customWidth="1"/>
    <col min="1528" max="1528" width="9.85546875" style="2" customWidth="1"/>
    <col min="1529" max="1529" width="10" style="2" customWidth="1"/>
    <col min="1530" max="1530" width="10.140625" style="2" customWidth="1"/>
    <col min="1531" max="1531" width="10.5703125" style="2" customWidth="1"/>
    <col min="1532" max="1532" width="8.140625" style="2" customWidth="1"/>
    <col min="1533" max="1533" width="7.85546875" style="2" customWidth="1"/>
    <col min="1534" max="1534" width="9" style="2" customWidth="1"/>
    <col min="1535" max="1535" width="10" style="2" customWidth="1"/>
    <col min="1536" max="1536" width="10.28515625" style="2" customWidth="1"/>
    <col min="1537" max="1537" width="10.140625" style="2" customWidth="1"/>
    <col min="1538" max="1538" width="10.5703125" style="2" customWidth="1"/>
    <col min="1539" max="1539" width="10.28515625" style="2" customWidth="1"/>
    <col min="1540" max="1540" width="9.7109375" style="2" customWidth="1"/>
    <col min="1541" max="1541" width="9.140625" style="2" bestFit="1" customWidth="1"/>
    <col min="1542" max="1542" width="9.28515625" style="2" customWidth="1"/>
    <col min="1543" max="1543" width="9" style="2" customWidth="1"/>
    <col min="1544" max="1544" width="8" style="2" customWidth="1"/>
    <col min="1545" max="1545" width="8.28515625" style="2" customWidth="1"/>
    <col min="1546" max="1546" width="7.85546875" style="2" customWidth="1"/>
    <col min="1547" max="1547" width="9" style="2" customWidth="1"/>
    <col min="1548" max="1548" width="8.42578125" style="2" customWidth="1"/>
    <col min="1549" max="1549" width="8.28515625" style="2" bestFit="1" customWidth="1"/>
    <col min="1550" max="1551" width="9" style="2" customWidth="1"/>
    <col min="1552" max="1552" width="7.140625" style="2" customWidth="1"/>
    <col min="1553" max="1553" width="9.140625" style="2" customWidth="1"/>
    <col min="1554" max="1554" width="7.7109375" style="2" customWidth="1"/>
    <col min="1555" max="1555" width="7.5703125" style="2" customWidth="1"/>
    <col min="1556" max="1556" width="10" style="2" customWidth="1"/>
    <col min="1557" max="1558" width="10.140625" style="2" bestFit="1" customWidth="1"/>
    <col min="1559" max="1559" width="12.7109375" style="2" bestFit="1" customWidth="1"/>
    <col min="1560" max="1560" width="9.140625" style="2" customWidth="1"/>
    <col min="1561" max="1561" width="9" style="2" customWidth="1"/>
    <col min="1562" max="1562" width="8.85546875" style="2" customWidth="1"/>
    <col min="1563" max="1563" width="10.42578125" style="2" customWidth="1"/>
    <col min="1564" max="1564" width="8.7109375" style="2" customWidth="1"/>
    <col min="1565" max="1565" width="8.140625" style="2" customWidth="1"/>
    <col min="1566" max="1566" width="7.7109375" style="2" customWidth="1"/>
    <col min="1567" max="1567" width="9.7109375" style="2" customWidth="1"/>
    <col min="1568" max="1568" width="6.5703125" style="2" bestFit="1" customWidth="1"/>
    <col min="1569" max="1570" width="7.5703125" style="2" customWidth="1"/>
    <col min="1571" max="1571" width="7.7109375" style="2" customWidth="1"/>
    <col min="1572" max="1573" width="9.28515625" style="2" bestFit="1" customWidth="1"/>
    <col min="1574" max="1574" width="9.5703125" style="2" customWidth="1"/>
    <col min="1575" max="1575" width="9.140625" style="2" customWidth="1"/>
    <col min="1576" max="1577" width="7.85546875" style="2" customWidth="1"/>
    <col min="1578" max="1578" width="9.42578125" style="2" customWidth="1"/>
    <col min="1579" max="1579" width="10" style="2" customWidth="1"/>
    <col min="1580" max="1580" width="6.42578125" style="2" customWidth="1"/>
    <col min="1581" max="1581" width="9" style="2" customWidth="1"/>
    <col min="1582" max="1582" width="8.85546875" style="2" customWidth="1"/>
    <col min="1583" max="1583" width="7.7109375" style="2" customWidth="1"/>
    <col min="1584" max="1584" width="9.7109375" style="2" customWidth="1"/>
    <col min="1585" max="1585" width="9.42578125" style="2" customWidth="1"/>
    <col min="1586" max="1586" width="9.85546875" style="2" customWidth="1"/>
    <col min="1587" max="1587" width="7.7109375" style="2" customWidth="1"/>
    <col min="1588" max="1588" width="8.5703125" style="2" customWidth="1"/>
    <col min="1589" max="1589" width="9.140625" style="2" customWidth="1"/>
    <col min="1590" max="1590" width="10.140625" style="2" customWidth="1"/>
    <col min="1591" max="1591" width="10.42578125" style="2" customWidth="1"/>
    <col min="1592" max="1593" width="7.85546875" style="2" customWidth="1"/>
    <col min="1594" max="1594" width="8.28515625" style="2" customWidth="1"/>
    <col min="1595" max="1595" width="10.42578125" style="2" customWidth="1"/>
    <col min="1596" max="1597" width="7.85546875" style="2" customWidth="1"/>
    <col min="1598" max="1598" width="8.28515625" style="2" customWidth="1"/>
    <col min="1599" max="1599" width="10.42578125" style="2" customWidth="1"/>
    <col min="1600" max="1600" width="8.5703125" style="2" customWidth="1"/>
    <col min="1601" max="1601" width="8.85546875" style="2" customWidth="1"/>
    <col min="1602" max="1602" width="8.7109375" style="2" customWidth="1"/>
    <col min="1603" max="1603" width="7.140625" style="2" bestFit="1" customWidth="1"/>
    <col min="1604" max="1604" width="7.7109375" style="2" bestFit="1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8.85546875" style="2" customWidth="1"/>
    <col min="1609" max="1609" width="9.42578125" style="2" customWidth="1"/>
    <col min="1610" max="1611" width="7.7109375" style="2" bestFit="1" customWidth="1"/>
    <col min="1612" max="1612" width="8.85546875" style="2" customWidth="1"/>
    <col min="1613" max="1613" width="9.42578125" style="2" customWidth="1"/>
    <col min="1614" max="1615" width="7.7109375" style="2" bestFit="1" customWidth="1"/>
    <col min="1616" max="1616" width="9.140625" style="2" customWidth="1"/>
    <col min="1617" max="1617" width="10" style="2" customWidth="1"/>
    <col min="1618" max="1618" width="9.5703125" style="2" customWidth="1"/>
    <col min="1619" max="1619" width="9.28515625" style="2" bestFit="1" customWidth="1"/>
    <col min="1620" max="1620" width="9.28515625" style="2" customWidth="1"/>
    <col min="1621" max="1621" width="9.28515625" style="2" bestFit="1" customWidth="1"/>
    <col min="1622" max="1622" width="10.28515625" style="2" customWidth="1"/>
    <col min="1623" max="1623" width="7.7109375" style="2" bestFit="1" customWidth="1"/>
    <col min="1624" max="1624" width="8" style="2" customWidth="1"/>
    <col min="1625" max="1625" width="8.5703125" style="2" customWidth="1"/>
    <col min="1626" max="1626" width="9.7109375" style="2" customWidth="1"/>
    <col min="1627" max="1627" width="9.42578125" style="2" customWidth="1"/>
    <col min="1628" max="1628" width="9.140625" style="2" customWidth="1"/>
    <col min="1629" max="1629" width="11.42578125" style="2" customWidth="1"/>
    <col min="1630" max="1630" width="12.5703125" style="2" customWidth="1"/>
    <col min="1631" max="1631" width="10.28515625" style="2" customWidth="1"/>
    <col min="1632" max="1632" width="7.7109375" style="2" bestFit="1" customWidth="1"/>
    <col min="1633" max="1633" width="8.28515625" style="2" bestFit="1" customWidth="1"/>
    <col min="1634" max="1635" width="7.7109375" style="2" bestFit="1" customWidth="1"/>
    <col min="1636" max="1636" width="6.5703125" style="2" bestFit="1" customWidth="1"/>
    <col min="1637" max="1637" width="8.28515625" style="2" bestFit="1" customWidth="1"/>
    <col min="1638" max="1638" width="6.5703125" style="2" bestFit="1" customWidth="1"/>
    <col min="1639" max="1639" width="7.140625" style="2" bestFit="1" customWidth="1"/>
    <col min="1640" max="1640" width="7.7109375" style="2" bestFit="1" customWidth="1"/>
    <col min="1641" max="1641" width="8.28515625" style="2" bestFit="1" customWidth="1"/>
    <col min="1642" max="1644" width="7.7109375" style="2" bestFit="1" customWidth="1"/>
    <col min="1645" max="1645" width="8.28515625" style="2" bestFit="1" customWidth="1"/>
    <col min="1646" max="1647" width="7.7109375" style="2" bestFit="1" customWidth="1"/>
    <col min="1648" max="1649" width="9.85546875" style="2" customWidth="1"/>
    <col min="1650" max="1650" width="8.5703125" style="2" customWidth="1"/>
    <col min="1651" max="1652" width="8.85546875" style="2" customWidth="1"/>
    <col min="1653" max="1653" width="9.7109375" style="2" customWidth="1"/>
    <col min="1654" max="1654" width="8.5703125" style="2" customWidth="1"/>
    <col min="1655" max="1655" width="7.7109375" style="2" bestFit="1" customWidth="1"/>
    <col min="1656" max="1656" width="7.5703125" style="2" customWidth="1"/>
    <col min="1657" max="1657" width="8.28515625" style="2" bestFit="1" customWidth="1"/>
    <col min="1658" max="1658" width="8.28515625" style="2" customWidth="1"/>
    <col min="1659" max="1659" width="7.140625" style="2" bestFit="1" customWidth="1"/>
    <col min="1660" max="1660" width="9" style="2" customWidth="1"/>
    <col min="1661" max="1661" width="9.5703125" style="2" customWidth="1"/>
    <col min="1662" max="1662" width="9.7109375" style="2" customWidth="1"/>
    <col min="1663" max="1663" width="10.85546875" style="2" customWidth="1"/>
    <col min="1664" max="1664" width="10.42578125" style="2" customWidth="1"/>
    <col min="1665" max="1666" width="11.28515625" style="2" customWidth="1"/>
    <col min="1667" max="1667" width="11" style="2" customWidth="1"/>
    <col min="1668" max="1668" width="6.7109375" style="2" customWidth="1"/>
    <col min="1669" max="1671" width="9.85546875" style="2"/>
    <col min="1672" max="1672" width="13.140625" style="2" customWidth="1"/>
    <col min="1673" max="1749" width="9.85546875" style="2"/>
    <col min="1750" max="1750" width="27.5703125" style="2" customWidth="1"/>
    <col min="1751" max="1751" width="5.28515625" style="2" customWidth="1"/>
    <col min="1752" max="1753" width="9" style="2" customWidth="1"/>
    <col min="1754" max="1754" width="9.5703125" style="2" customWidth="1"/>
    <col min="1755" max="1755" width="9.7109375" style="2" customWidth="1"/>
    <col min="1756" max="1756" width="7.5703125" style="2" customWidth="1"/>
    <col min="1757" max="1757" width="10.42578125" style="2" customWidth="1"/>
    <col min="1758" max="1758" width="9.140625" style="2" bestFit="1" customWidth="1"/>
    <col min="1759" max="1759" width="7.28515625" style="2" customWidth="1"/>
    <col min="1760" max="1761" width="9.28515625" style="2" customWidth="1"/>
    <col min="1762" max="1762" width="9.5703125" style="2" customWidth="1"/>
    <col min="1763" max="1764" width="9" style="2" customWidth="1"/>
    <col min="1765" max="1765" width="8" style="2" customWidth="1"/>
    <col min="1766" max="1766" width="8.5703125" style="2" customWidth="1"/>
    <col min="1767" max="1767" width="8.28515625" style="2" customWidth="1"/>
    <col min="1768" max="1768" width="9.5703125" style="2" customWidth="1"/>
    <col min="1769" max="1769" width="8.42578125" style="2" customWidth="1"/>
    <col min="1770" max="1770" width="8.140625" style="2" customWidth="1"/>
    <col min="1771" max="1771" width="7.5703125" style="2" customWidth="1"/>
    <col min="1772" max="1772" width="9.140625" style="2" customWidth="1"/>
    <col min="1773" max="1773" width="9" style="2" customWidth="1"/>
    <col min="1774" max="1774" width="8.5703125" style="2" customWidth="1"/>
    <col min="1775" max="1775" width="7.85546875" style="2" customWidth="1"/>
    <col min="1776" max="1776" width="6.7109375" style="2" customWidth="1"/>
    <col min="1777" max="1777" width="5.7109375" style="2" customWidth="1"/>
    <col min="1778" max="1778" width="6.28515625" style="2" customWidth="1"/>
    <col min="1779" max="1779" width="6.5703125" style="2" customWidth="1"/>
    <col min="1780" max="1780" width="8.7109375" style="2" customWidth="1"/>
    <col min="1781" max="1781" width="9" style="2" customWidth="1"/>
    <col min="1782" max="1782" width="8.28515625" style="2" customWidth="1"/>
    <col min="1783" max="1783" width="8.42578125" style="2" customWidth="1"/>
    <col min="1784" max="1784" width="9.85546875" style="2" customWidth="1"/>
    <col min="1785" max="1785" width="10" style="2" customWidth="1"/>
    <col min="1786" max="1786" width="10.140625" style="2" customWidth="1"/>
    <col min="1787" max="1787" width="10.5703125" style="2" customWidth="1"/>
    <col min="1788" max="1788" width="8.140625" style="2" customWidth="1"/>
    <col min="1789" max="1789" width="7.85546875" style="2" customWidth="1"/>
    <col min="1790" max="1790" width="9" style="2" customWidth="1"/>
    <col min="1791" max="1791" width="10" style="2" customWidth="1"/>
    <col min="1792" max="1792" width="10.28515625" style="2" customWidth="1"/>
    <col min="1793" max="1793" width="10.140625" style="2" customWidth="1"/>
    <col min="1794" max="1794" width="10.5703125" style="2" customWidth="1"/>
    <col min="1795" max="1795" width="10.28515625" style="2" customWidth="1"/>
    <col min="1796" max="1796" width="9.7109375" style="2" customWidth="1"/>
    <col min="1797" max="1797" width="9.140625" style="2" bestFit="1" customWidth="1"/>
    <col min="1798" max="1798" width="9.28515625" style="2" customWidth="1"/>
    <col min="1799" max="1799" width="9" style="2" customWidth="1"/>
    <col min="1800" max="1800" width="8" style="2" customWidth="1"/>
    <col min="1801" max="1801" width="8.28515625" style="2" customWidth="1"/>
    <col min="1802" max="1802" width="7.85546875" style="2" customWidth="1"/>
    <col min="1803" max="1803" width="9" style="2" customWidth="1"/>
    <col min="1804" max="1804" width="8.42578125" style="2" customWidth="1"/>
    <col min="1805" max="1805" width="8.28515625" style="2" bestFit="1" customWidth="1"/>
    <col min="1806" max="1807" width="9" style="2" customWidth="1"/>
    <col min="1808" max="1808" width="7.140625" style="2" customWidth="1"/>
    <col min="1809" max="1809" width="9.140625" style="2" customWidth="1"/>
    <col min="1810" max="1810" width="7.7109375" style="2" customWidth="1"/>
    <col min="1811" max="1811" width="7.5703125" style="2" customWidth="1"/>
    <col min="1812" max="1812" width="10" style="2" customWidth="1"/>
    <col min="1813" max="1814" width="10.140625" style="2" bestFit="1" customWidth="1"/>
    <col min="1815" max="1815" width="12.7109375" style="2" bestFit="1" customWidth="1"/>
    <col min="1816" max="1816" width="9.140625" style="2" customWidth="1"/>
    <col min="1817" max="1817" width="9" style="2" customWidth="1"/>
    <col min="1818" max="1818" width="8.85546875" style="2" customWidth="1"/>
    <col min="1819" max="1819" width="10.42578125" style="2" customWidth="1"/>
    <col min="1820" max="1820" width="8.7109375" style="2" customWidth="1"/>
    <col min="1821" max="1821" width="8.140625" style="2" customWidth="1"/>
    <col min="1822" max="1822" width="7.7109375" style="2" customWidth="1"/>
    <col min="1823" max="1823" width="9.7109375" style="2" customWidth="1"/>
    <col min="1824" max="1824" width="6.5703125" style="2" bestFit="1" customWidth="1"/>
    <col min="1825" max="1826" width="7.5703125" style="2" customWidth="1"/>
    <col min="1827" max="1827" width="7.7109375" style="2" customWidth="1"/>
    <col min="1828" max="1829" width="9.28515625" style="2" bestFit="1" customWidth="1"/>
    <col min="1830" max="1830" width="9.5703125" style="2" customWidth="1"/>
    <col min="1831" max="1831" width="9.140625" style="2" customWidth="1"/>
    <col min="1832" max="1833" width="7.85546875" style="2" customWidth="1"/>
    <col min="1834" max="1834" width="9.42578125" style="2" customWidth="1"/>
    <col min="1835" max="1835" width="10" style="2" customWidth="1"/>
    <col min="1836" max="1836" width="6.42578125" style="2" customWidth="1"/>
    <col min="1837" max="1837" width="9" style="2" customWidth="1"/>
    <col min="1838" max="1838" width="8.85546875" style="2" customWidth="1"/>
    <col min="1839" max="1839" width="7.7109375" style="2" customWidth="1"/>
    <col min="1840" max="1840" width="9.7109375" style="2" customWidth="1"/>
    <col min="1841" max="1841" width="9.42578125" style="2" customWidth="1"/>
    <col min="1842" max="1842" width="9.85546875" style="2" customWidth="1"/>
    <col min="1843" max="1843" width="7.7109375" style="2" customWidth="1"/>
    <col min="1844" max="1844" width="8.5703125" style="2" customWidth="1"/>
    <col min="1845" max="1845" width="9.140625" style="2" customWidth="1"/>
    <col min="1846" max="1846" width="10.140625" style="2" customWidth="1"/>
    <col min="1847" max="1847" width="10.42578125" style="2" customWidth="1"/>
    <col min="1848" max="1849" width="7.85546875" style="2" customWidth="1"/>
    <col min="1850" max="1850" width="8.28515625" style="2" customWidth="1"/>
    <col min="1851" max="1851" width="10.42578125" style="2" customWidth="1"/>
    <col min="1852" max="1853" width="7.85546875" style="2" customWidth="1"/>
    <col min="1854" max="1854" width="8.28515625" style="2" customWidth="1"/>
    <col min="1855" max="1855" width="10.42578125" style="2" customWidth="1"/>
    <col min="1856" max="1856" width="8.5703125" style="2" customWidth="1"/>
    <col min="1857" max="1857" width="8.85546875" style="2" customWidth="1"/>
    <col min="1858" max="1858" width="8.7109375" style="2" customWidth="1"/>
    <col min="1859" max="1859" width="7.140625" style="2" bestFit="1" customWidth="1"/>
    <col min="1860" max="1860" width="7.7109375" style="2" bestFit="1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8.85546875" style="2" customWidth="1"/>
    <col min="1865" max="1865" width="9.42578125" style="2" customWidth="1"/>
    <col min="1866" max="1867" width="7.7109375" style="2" bestFit="1" customWidth="1"/>
    <col min="1868" max="1868" width="8.85546875" style="2" customWidth="1"/>
    <col min="1869" max="1869" width="9.42578125" style="2" customWidth="1"/>
    <col min="1870" max="1871" width="7.7109375" style="2" bestFit="1" customWidth="1"/>
    <col min="1872" max="1872" width="9.140625" style="2" customWidth="1"/>
    <col min="1873" max="1873" width="10" style="2" customWidth="1"/>
    <col min="1874" max="1874" width="9.5703125" style="2" customWidth="1"/>
    <col min="1875" max="1875" width="9.28515625" style="2" bestFit="1" customWidth="1"/>
    <col min="1876" max="1876" width="9.28515625" style="2" customWidth="1"/>
    <col min="1877" max="1877" width="9.28515625" style="2" bestFit="1" customWidth="1"/>
    <col min="1878" max="1878" width="10.28515625" style="2" customWidth="1"/>
    <col min="1879" max="1879" width="7.7109375" style="2" bestFit="1" customWidth="1"/>
    <col min="1880" max="1880" width="8" style="2" customWidth="1"/>
    <col min="1881" max="1881" width="8.5703125" style="2" customWidth="1"/>
    <col min="1882" max="1882" width="9.7109375" style="2" customWidth="1"/>
    <col min="1883" max="1883" width="9.42578125" style="2" customWidth="1"/>
    <col min="1884" max="1884" width="9.140625" style="2" customWidth="1"/>
    <col min="1885" max="1885" width="11.42578125" style="2" customWidth="1"/>
    <col min="1886" max="1886" width="12.5703125" style="2" customWidth="1"/>
    <col min="1887" max="1887" width="10.28515625" style="2" customWidth="1"/>
    <col min="1888" max="1888" width="7.7109375" style="2" bestFit="1" customWidth="1"/>
    <col min="1889" max="1889" width="8.28515625" style="2" bestFit="1" customWidth="1"/>
    <col min="1890" max="1891" width="7.7109375" style="2" bestFit="1" customWidth="1"/>
    <col min="1892" max="1892" width="6.5703125" style="2" bestFit="1" customWidth="1"/>
    <col min="1893" max="1893" width="8.28515625" style="2" bestFit="1" customWidth="1"/>
    <col min="1894" max="1894" width="6.5703125" style="2" bestFit="1" customWidth="1"/>
    <col min="1895" max="1895" width="7.140625" style="2" bestFit="1" customWidth="1"/>
    <col min="1896" max="1896" width="7.7109375" style="2" bestFit="1" customWidth="1"/>
    <col min="1897" max="1897" width="8.28515625" style="2" bestFit="1" customWidth="1"/>
    <col min="1898" max="1900" width="7.7109375" style="2" bestFit="1" customWidth="1"/>
    <col min="1901" max="1901" width="8.28515625" style="2" bestFit="1" customWidth="1"/>
    <col min="1902" max="1903" width="7.7109375" style="2" bestFit="1" customWidth="1"/>
    <col min="1904" max="1905" width="9.85546875" style="2" customWidth="1"/>
    <col min="1906" max="1906" width="8.5703125" style="2" customWidth="1"/>
    <col min="1907" max="1908" width="8.85546875" style="2" customWidth="1"/>
    <col min="1909" max="1909" width="9.7109375" style="2" customWidth="1"/>
    <col min="1910" max="1910" width="8.5703125" style="2" customWidth="1"/>
    <col min="1911" max="1911" width="7.7109375" style="2" bestFit="1" customWidth="1"/>
    <col min="1912" max="1912" width="7.5703125" style="2" customWidth="1"/>
    <col min="1913" max="1913" width="8.28515625" style="2" bestFit="1" customWidth="1"/>
    <col min="1914" max="1914" width="8.28515625" style="2" customWidth="1"/>
    <col min="1915" max="1915" width="7.140625" style="2" bestFit="1" customWidth="1"/>
    <col min="1916" max="1916" width="9" style="2" customWidth="1"/>
    <col min="1917" max="1917" width="9.5703125" style="2" customWidth="1"/>
    <col min="1918" max="1918" width="9.7109375" style="2" customWidth="1"/>
    <col min="1919" max="1919" width="10.85546875" style="2" customWidth="1"/>
    <col min="1920" max="1920" width="10.42578125" style="2" customWidth="1"/>
    <col min="1921" max="1922" width="11.28515625" style="2" customWidth="1"/>
    <col min="1923" max="1923" width="11" style="2" customWidth="1"/>
    <col min="1924" max="1924" width="6.7109375" style="2" customWidth="1"/>
    <col min="1925" max="1927" width="9.85546875" style="2"/>
    <col min="1928" max="1928" width="13.140625" style="2" customWidth="1"/>
    <col min="1929" max="2005" width="9.85546875" style="2"/>
    <col min="2006" max="2006" width="27.5703125" style="2" customWidth="1"/>
    <col min="2007" max="2007" width="5.28515625" style="2" customWidth="1"/>
    <col min="2008" max="2009" width="9" style="2" customWidth="1"/>
    <col min="2010" max="2010" width="9.5703125" style="2" customWidth="1"/>
    <col min="2011" max="2011" width="9.7109375" style="2" customWidth="1"/>
    <col min="2012" max="2012" width="7.5703125" style="2" customWidth="1"/>
    <col min="2013" max="2013" width="10.42578125" style="2" customWidth="1"/>
    <col min="2014" max="2014" width="9.140625" style="2" bestFit="1" customWidth="1"/>
    <col min="2015" max="2015" width="7.28515625" style="2" customWidth="1"/>
    <col min="2016" max="2017" width="9.28515625" style="2" customWidth="1"/>
    <col min="2018" max="2018" width="9.5703125" style="2" customWidth="1"/>
    <col min="2019" max="2020" width="9" style="2" customWidth="1"/>
    <col min="2021" max="2021" width="8" style="2" customWidth="1"/>
    <col min="2022" max="2022" width="8.5703125" style="2" customWidth="1"/>
    <col min="2023" max="2023" width="8.28515625" style="2" customWidth="1"/>
    <col min="2024" max="2024" width="9.5703125" style="2" customWidth="1"/>
    <col min="2025" max="2025" width="8.42578125" style="2" customWidth="1"/>
    <col min="2026" max="2026" width="8.140625" style="2" customWidth="1"/>
    <col min="2027" max="2027" width="7.5703125" style="2" customWidth="1"/>
    <col min="2028" max="2028" width="9.140625" style="2" customWidth="1"/>
    <col min="2029" max="2029" width="9" style="2" customWidth="1"/>
    <col min="2030" max="2030" width="8.5703125" style="2" customWidth="1"/>
    <col min="2031" max="2031" width="7.85546875" style="2" customWidth="1"/>
    <col min="2032" max="2032" width="6.7109375" style="2" customWidth="1"/>
    <col min="2033" max="2033" width="5.7109375" style="2" customWidth="1"/>
    <col min="2034" max="2034" width="6.28515625" style="2" customWidth="1"/>
    <col min="2035" max="2035" width="6.5703125" style="2" customWidth="1"/>
    <col min="2036" max="2036" width="8.7109375" style="2" customWidth="1"/>
    <col min="2037" max="2037" width="9" style="2" customWidth="1"/>
    <col min="2038" max="2038" width="8.28515625" style="2" customWidth="1"/>
    <col min="2039" max="2039" width="8.42578125" style="2" customWidth="1"/>
    <col min="2040" max="2040" width="9.85546875" style="2" customWidth="1"/>
    <col min="2041" max="2041" width="10" style="2" customWidth="1"/>
    <col min="2042" max="2042" width="10.140625" style="2" customWidth="1"/>
    <col min="2043" max="2043" width="10.5703125" style="2" customWidth="1"/>
    <col min="2044" max="2044" width="8.140625" style="2" customWidth="1"/>
    <col min="2045" max="2045" width="7.85546875" style="2" customWidth="1"/>
    <col min="2046" max="2046" width="9" style="2" customWidth="1"/>
    <col min="2047" max="2047" width="10" style="2" customWidth="1"/>
    <col min="2048" max="2048" width="10.28515625" style="2" customWidth="1"/>
    <col min="2049" max="2049" width="10.140625" style="2" customWidth="1"/>
    <col min="2050" max="2050" width="10.5703125" style="2" customWidth="1"/>
    <col min="2051" max="2051" width="10.28515625" style="2" customWidth="1"/>
    <col min="2052" max="2052" width="9.7109375" style="2" customWidth="1"/>
    <col min="2053" max="2053" width="9.140625" style="2" bestFit="1" customWidth="1"/>
    <col min="2054" max="2054" width="9.28515625" style="2" customWidth="1"/>
    <col min="2055" max="2055" width="9" style="2" customWidth="1"/>
    <col min="2056" max="2056" width="8" style="2" customWidth="1"/>
    <col min="2057" max="2057" width="8.28515625" style="2" customWidth="1"/>
    <col min="2058" max="2058" width="7.85546875" style="2" customWidth="1"/>
    <col min="2059" max="2059" width="9" style="2" customWidth="1"/>
    <col min="2060" max="2060" width="8.42578125" style="2" customWidth="1"/>
    <col min="2061" max="2061" width="8.28515625" style="2" bestFit="1" customWidth="1"/>
    <col min="2062" max="2063" width="9" style="2" customWidth="1"/>
    <col min="2064" max="2064" width="7.140625" style="2" customWidth="1"/>
    <col min="2065" max="2065" width="9.140625" style="2" customWidth="1"/>
    <col min="2066" max="2066" width="7.7109375" style="2" customWidth="1"/>
    <col min="2067" max="2067" width="7.5703125" style="2" customWidth="1"/>
    <col min="2068" max="2068" width="10" style="2" customWidth="1"/>
    <col min="2069" max="2070" width="10.140625" style="2" bestFit="1" customWidth="1"/>
    <col min="2071" max="2071" width="12.7109375" style="2" bestFit="1" customWidth="1"/>
    <col min="2072" max="2072" width="9.140625" style="2" customWidth="1"/>
    <col min="2073" max="2073" width="9" style="2" customWidth="1"/>
    <col min="2074" max="2074" width="8.85546875" style="2" customWidth="1"/>
    <col min="2075" max="2075" width="10.42578125" style="2" customWidth="1"/>
    <col min="2076" max="2076" width="8.7109375" style="2" customWidth="1"/>
    <col min="2077" max="2077" width="8.140625" style="2" customWidth="1"/>
    <col min="2078" max="2078" width="7.7109375" style="2" customWidth="1"/>
    <col min="2079" max="2079" width="9.7109375" style="2" customWidth="1"/>
    <col min="2080" max="2080" width="6.5703125" style="2" bestFit="1" customWidth="1"/>
    <col min="2081" max="2082" width="7.5703125" style="2" customWidth="1"/>
    <col min="2083" max="2083" width="7.7109375" style="2" customWidth="1"/>
    <col min="2084" max="2085" width="9.28515625" style="2" bestFit="1" customWidth="1"/>
    <col min="2086" max="2086" width="9.5703125" style="2" customWidth="1"/>
    <col min="2087" max="2087" width="9.140625" style="2" customWidth="1"/>
    <col min="2088" max="2089" width="7.85546875" style="2" customWidth="1"/>
    <col min="2090" max="2090" width="9.42578125" style="2" customWidth="1"/>
    <col min="2091" max="2091" width="10" style="2" customWidth="1"/>
    <col min="2092" max="2092" width="6.42578125" style="2" customWidth="1"/>
    <col min="2093" max="2093" width="9" style="2" customWidth="1"/>
    <col min="2094" max="2094" width="8.85546875" style="2" customWidth="1"/>
    <col min="2095" max="2095" width="7.7109375" style="2" customWidth="1"/>
    <col min="2096" max="2096" width="9.7109375" style="2" customWidth="1"/>
    <col min="2097" max="2097" width="9.42578125" style="2" customWidth="1"/>
    <col min="2098" max="2098" width="9.85546875" style="2" customWidth="1"/>
    <col min="2099" max="2099" width="7.7109375" style="2" customWidth="1"/>
    <col min="2100" max="2100" width="8.5703125" style="2" customWidth="1"/>
    <col min="2101" max="2101" width="9.140625" style="2" customWidth="1"/>
    <col min="2102" max="2102" width="10.140625" style="2" customWidth="1"/>
    <col min="2103" max="2103" width="10.42578125" style="2" customWidth="1"/>
    <col min="2104" max="2105" width="7.85546875" style="2" customWidth="1"/>
    <col min="2106" max="2106" width="8.28515625" style="2" customWidth="1"/>
    <col min="2107" max="2107" width="10.42578125" style="2" customWidth="1"/>
    <col min="2108" max="2109" width="7.85546875" style="2" customWidth="1"/>
    <col min="2110" max="2110" width="8.28515625" style="2" customWidth="1"/>
    <col min="2111" max="2111" width="10.42578125" style="2" customWidth="1"/>
    <col min="2112" max="2112" width="8.5703125" style="2" customWidth="1"/>
    <col min="2113" max="2113" width="8.85546875" style="2" customWidth="1"/>
    <col min="2114" max="2114" width="8.7109375" style="2" customWidth="1"/>
    <col min="2115" max="2115" width="7.140625" style="2" bestFit="1" customWidth="1"/>
    <col min="2116" max="2116" width="7.7109375" style="2" bestFit="1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8.85546875" style="2" customWidth="1"/>
    <col min="2121" max="2121" width="9.42578125" style="2" customWidth="1"/>
    <col min="2122" max="2123" width="7.7109375" style="2" bestFit="1" customWidth="1"/>
    <col min="2124" max="2124" width="8.85546875" style="2" customWidth="1"/>
    <col min="2125" max="2125" width="9.42578125" style="2" customWidth="1"/>
    <col min="2126" max="2127" width="7.7109375" style="2" bestFit="1" customWidth="1"/>
    <col min="2128" max="2128" width="9.140625" style="2" customWidth="1"/>
    <col min="2129" max="2129" width="10" style="2" customWidth="1"/>
    <col min="2130" max="2130" width="9.5703125" style="2" customWidth="1"/>
    <col min="2131" max="2131" width="9.28515625" style="2" bestFit="1" customWidth="1"/>
    <col min="2132" max="2132" width="9.28515625" style="2" customWidth="1"/>
    <col min="2133" max="2133" width="9.28515625" style="2" bestFit="1" customWidth="1"/>
    <col min="2134" max="2134" width="10.28515625" style="2" customWidth="1"/>
    <col min="2135" max="2135" width="7.7109375" style="2" bestFit="1" customWidth="1"/>
    <col min="2136" max="2136" width="8" style="2" customWidth="1"/>
    <col min="2137" max="2137" width="8.5703125" style="2" customWidth="1"/>
    <col min="2138" max="2138" width="9.7109375" style="2" customWidth="1"/>
    <col min="2139" max="2139" width="9.42578125" style="2" customWidth="1"/>
    <col min="2140" max="2140" width="9.140625" style="2" customWidth="1"/>
    <col min="2141" max="2141" width="11.42578125" style="2" customWidth="1"/>
    <col min="2142" max="2142" width="12.5703125" style="2" customWidth="1"/>
    <col min="2143" max="2143" width="10.28515625" style="2" customWidth="1"/>
    <col min="2144" max="2144" width="7.7109375" style="2" bestFit="1" customWidth="1"/>
    <col min="2145" max="2145" width="8.28515625" style="2" bestFit="1" customWidth="1"/>
    <col min="2146" max="2147" width="7.7109375" style="2" bestFit="1" customWidth="1"/>
    <col min="2148" max="2148" width="6.5703125" style="2" bestFit="1" customWidth="1"/>
    <col min="2149" max="2149" width="8.28515625" style="2" bestFit="1" customWidth="1"/>
    <col min="2150" max="2150" width="6.5703125" style="2" bestFit="1" customWidth="1"/>
    <col min="2151" max="2151" width="7.140625" style="2" bestFit="1" customWidth="1"/>
    <col min="2152" max="2152" width="7.7109375" style="2" bestFit="1" customWidth="1"/>
    <col min="2153" max="2153" width="8.28515625" style="2" bestFit="1" customWidth="1"/>
    <col min="2154" max="2156" width="7.7109375" style="2" bestFit="1" customWidth="1"/>
    <col min="2157" max="2157" width="8.28515625" style="2" bestFit="1" customWidth="1"/>
    <col min="2158" max="2159" width="7.7109375" style="2" bestFit="1" customWidth="1"/>
    <col min="2160" max="2161" width="9.85546875" style="2" customWidth="1"/>
    <col min="2162" max="2162" width="8.5703125" style="2" customWidth="1"/>
    <col min="2163" max="2164" width="8.85546875" style="2" customWidth="1"/>
    <col min="2165" max="2165" width="9.7109375" style="2" customWidth="1"/>
    <col min="2166" max="2166" width="8.5703125" style="2" customWidth="1"/>
    <col min="2167" max="2167" width="7.7109375" style="2" bestFit="1" customWidth="1"/>
    <col min="2168" max="2168" width="7.5703125" style="2" customWidth="1"/>
    <col min="2169" max="2169" width="8.28515625" style="2" bestFit="1" customWidth="1"/>
    <col min="2170" max="2170" width="8.28515625" style="2" customWidth="1"/>
    <col min="2171" max="2171" width="7.140625" style="2" bestFit="1" customWidth="1"/>
    <col min="2172" max="2172" width="9" style="2" customWidth="1"/>
    <col min="2173" max="2173" width="9.5703125" style="2" customWidth="1"/>
    <col min="2174" max="2174" width="9.7109375" style="2" customWidth="1"/>
    <col min="2175" max="2175" width="10.85546875" style="2" customWidth="1"/>
    <col min="2176" max="2176" width="10.42578125" style="2" customWidth="1"/>
    <col min="2177" max="2178" width="11.28515625" style="2" customWidth="1"/>
    <col min="2179" max="2179" width="11" style="2" customWidth="1"/>
    <col min="2180" max="2180" width="6.7109375" style="2" customWidth="1"/>
    <col min="2181" max="2183" width="9.85546875" style="2"/>
    <col min="2184" max="2184" width="13.140625" style="2" customWidth="1"/>
    <col min="2185" max="2261" width="9.85546875" style="2"/>
    <col min="2262" max="2262" width="27.5703125" style="2" customWidth="1"/>
    <col min="2263" max="2263" width="5.28515625" style="2" customWidth="1"/>
    <col min="2264" max="2265" width="9" style="2" customWidth="1"/>
    <col min="2266" max="2266" width="9.5703125" style="2" customWidth="1"/>
    <col min="2267" max="2267" width="9.7109375" style="2" customWidth="1"/>
    <col min="2268" max="2268" width="7.5703125" style="2" customWidth="1"/>
    <col min="2269" max="2269" width="10.42578125" style="2" customWidth="1"/>
    <col min="2270" max="2270" width="9.140625" style="2" bestFit="1" customWidth="1"/>
    <col min="2271" max="2271" width="7.28515625" style="2" customWidth="1"/>
    <col min="2272" max="2273" width="9.28515625" style="2" customWidth="1"/>
    <col min="2274" max="2274" width="9.5703125" style="2" customWidth="1"/>
    <col min="2275" max="2276" width="9" style="2" customWidth="1"/>
    <col min="2277" max="2277" width="8" style="2" customWidth="1"/>
    <col min="2278" max="2278" width="8.5703125" style="2" customWidth="1"/>
    <col min="2279" max="2279" width="8.28515625" style="2" customWidth="1"/>
    <col min="2280" max="2280" width="9.5703125" style="2" customWidth="1"/>
    <col min="2281" max="2281" width="8.42578125" style="2" customWidth="1"/>
    <col min="2282" max="2282" width="8.140625" style="2" customWidth="1"/>
    <col min="2283" max="2283" width="7.5703125" style="2" customWidth="1"/>
    <col min="2284" max="2284" width="9.140625" style="2" customWidth="1"/>
    <col min="2285" max="2285" width="9" style="2" customWidth="1"/>
    <col min="2286" max="2286" width="8.5703125" style="2" customWidth="1"/>
    <col min="2287" max="2287" width="7.85546875" style="2" customWidth="1"/>
    <col min="2288" max="2288" width="6.7109375" style="2" customWidth="1"/>
    <col min="2289" max="2289" width="5.7109375" style="2" customWidth="1"/>
    <col min="2290" max="2290" width="6.28515625" style="2" customWidth="1"/>
    <col min="2291" max="2291" width="6.5703125" style="2" customWidth="1"/>
    <col min="2292" max="2292" width="8.7109375" style="2" customWidth="1"/>
    <col min="2293" max="2293" width="9" style="2" customWidth="1"/>
    <col min="2294" max="2294" width="8.28515625" style="2" customWidth="1"/>
    <col min="2295" max="2295" width="8.42578125" style="2" customWidth="1"/>
    <col min="2296" max="2296" width="9.85546875" style="2" customWidth="1"/>
    <col min="2297" max="2297" width="10" style="2" customWidth="1"/>
    <col min="2298" max="2298" width="10.140625" style="2" customWidth="1"/>
    <col min="2299" max="2299" width="10.5703125" style="2" customWidth="1"/>
    <col min="2300" max="2300" width="8.140625" style="2" customWidth="1"/>
    <col min="2301" max="2301" width="7.85546875" style="2" customWidth="1"/>
    <col min="2302" max="2302" width="9" style="2" customWidth="1"/>
    <col min="2303" max="2303" width="10" style="2" customWidth="1"/>
    <col min="2304" max="2304" width="10.28515625" style="2" customWidth="1"/>
    <col min="2305" max="2305" width="10.140625" style="2" customWidth="1"/>
    <col min="2306" max="2306" width="10.5703125" style="2" customWidth="1"/>
    <col min="2307" max="2307" width="10.28515625" style="2" customWidth="1"/>
    <col min="2308" max="2308" width="9.7109375" style="2" customWidth="1"/>
    <col min="2309" max="2309" width="9.140625" style="2" bestFit="1" customWidth="1"/>
    <col min="2310" max="2310" width="9.28515625" style="2" customWidth="1"/>
    <col min="2311" max="2311" width="9" style="2" customWidth="1"/>
    <col min="2312" max="2312" width="8" style="2" customWidth="1"/>
    <col min="2313" max="2313" width="8.28515625" style="2" customWidth="1"/>
    <col min="2314" max="2314" width="7.85546875" style="2" customWidth="1"/>
    <col min="2315" max="2315" width="9" style="2" customWidth="1"/>
    <col min="2316" max="2316" width="8.42578125" style="2" customWidth="1"/>
    <col min="2317" max="2317" width="8.28515625" style="2" bestFit="1" customWidth="1"/>
    <col min="2318" max="2319" width="9" style="2" customWidth="1"/>
    <col min="2320" max="2320" width="7.140625" style="2" customWidth="1"/>
    <col min="2321" max="2321" width="9.140625" style="2" customWidth="1"/>
    <col min="2322" max="2322" width="7.7109375" style="2" customWidth="1"/>
    <col min="2323" max="2323" width="7.5703125" style="2" customWidth="1"/>
    <col min="2324" max="2324" width="10" style="2" customWidth="1"/>
    <col min="2325" max="2326" width="10.140625" style="2" bestFit="1" customWidth="1"/>
    <col min="2327" max="2327" width="12.7109375" style="2" bestFit="1" customWidth="1"/>
    <col min="2328" max="2328" width="9.140625" style="2" customWidth="1"/>
    <col min="2329" max="2329" width="9" style="2" customWidth="1"/>
    <col min="2330" max="2330" width="8.85546875" style="2" customWidth="1"/>
    <col min="2331" max="2331" width="10.42578125" style="2" customWidth="1"/>
    <col min="2332" max="2332" width="8.7109375" style="2" customWidth="1"/>
    <col min="2333" max="2333" width="8.140625" style="2" customWidth="1"/>
    <col min="2334" max="2334" width="7.7109375" style="2" customWidth="1"/>
    <col min="2335" max="2335" width="9.7109375" style="2" customWidth="1"/>
    <col min="2336" max="2336" width="6.5703125" style="2" bestFit="1" customWidth="1"/>
    <col min="2337" max="2338" width="7.5703125" style="2" customWidth="1"/>
    <col min="2339" max="2339" width="7.7109375" style="2" customWidth="1"/>
    <col min="2340" max="2341" width="9.28515625" style="2" bestFit="1" customWidth="1"/>
    <col min="2342" max="2342" width="9.5703125" style="2" customWidth="1"/>
    <col min="2343" max="2343" width="9.140625" style="2" customWidth="1"/>
    <col min="2344" max="2345" width="7.85546875" style="2" customWidth="1"/>
    <col min="2346" max="2346" width="9.42578125" style="2" customWidth="1"/>
    <col min="2347" max="2347" width="10" style="2" customWidth="1"/>
    <col min="2348" max="2348" width="6.42578125" style="2" customWidth="1"/>
    <col min="2349" max="2349" width="9" style="2" customWidth="1"/>
    <col min="2350" max="2350" width="8.85546875" style="2" customWidth="1"/>
    <col min="2351" max="2351" width="7.7109375" style="2" customWidth="1"/>
    <col min="2352" max="2352" width="9.7109375" style="2" customWidth="1"/>
    <col min="2353" max="2353" width="9.42578125" style="2" customWidth="1"/>
    <col min="2354" max="2354" width="9.85546875" style="2" customWidth="1"/>
    <col min="2355" max="2355" width="7.7109375" style="2" customWidth="1"/>
    <col min="2356" max="2356" width="8.5703125" style="2" customWidth="1"/>
    <col min="2357" max="2357" width="9.140625" style="2" customWidth="1"/>
    <col min="2358" max="2358" width="10.140625" style="2" customWidth="1"/>
    <col min="2359" max="2359" width="10.42578125" style="2" customWidth="1"/>
    <col min="2360" max="2361" width="7.85546875" style="2" customWidth="1"/>
    <col min="2362" max="2362" width="8.28515625" style="2" customWidth="1"/>
    <col min="2363" max="2363" width="10.42578125" style="2" customWidth="1"/>
    <col min="2364" max="2365" width="7.85546875" style="2" customWidth="1"/>
    <col min="2366" max="2366" width="8.28515625" style="2" customWidth="1"/>
    <col min="2367" max="2367" width="10.42578125" style="2" customWidth="1"/>
    <col min="2368" max="2368" width="8.5703125" style="2" customWidth="1"/>
    <col min="2369" max="2369" width="8.85546875" style="2" customWidth="1"/>
    <col min="2370" max="2370" width="8.7109375" style="2" customWidth="1"/>
    <col min="2371" max="2371" width="7.140625" style="2" bestFit="1" customWidth="1"/>
    <col min="2372" max="2372" width="7.7109375" style="2" bestFit="1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8.85546875" style="2" customWidth="1"/>
    <col min="2377" max="2377" width="9.42578125" style="2" customWidth="1"/>
    <col min="2378" max="2379" width="7.7109375" style="2" bestFit="1" customWidth="1"/>
    <col min="2380" max="2380" width="8.85546875" style="2" customWidth="1"/>
    <col min="2381" max="2381" width="9.42578125" style="2" customWidth="1"/>
    <col min="2382" max="2383" width="7.7109375" style="2" bestFit="1" customWidth="1"/>
    <col min="2384" max="2384" width="9.140625" style="2" customWidth="1"/>
    <col min="2385" max="2385" width="10" style="2" customWidth="1"/>
    <col min="2386" max="2386" width="9.5703125" style="2" customWidth="1"/>
    <col min="2387" max="2387" width="9.28515625" style="2" bestFit="1" customWidth="1"/>
    <col min="2388" max="2388" width="9.28515625" style="2" customWidth="1"/>
    <col min="2389" max="2389" width="9.28515625" style="2" bestFit="1" customWidth="1"/>
    <col min="2390" max="2390" width="10.28515625" style="2" customWidth="1"/>
    <col min="2391" max="2391" width="7.7109375" style="2" bestFit="1" customWidth="1"/>
    <col min="2392" max="2392" width="8" style="2" customWidth="1"/>
    <col min="2393" max="2393" width="8.5703125" style="2" customWidth="1"/>
    <col min="2394" max="2394" width="9.7109375" style="2" customWidth="1"/>
    <col min="2395" max="2395" width="9.42578125" style="2" customWidth="1"/>
    <col min="2396" max="2396" width="9.140625" style="2" customWidth="1"/>
    <col min="2397" max="2397" width="11.42578125" style="2" customWidth="1"/>
    <col min="2398" max="2398" width="12.5703125" style="2" customWidth="1"/>
    <col min="2399" max="2399" width="10.28515625" style="2" customWidth="1"/>
    <col min="2400" max="2400" width="7.7109375" style="2" bestFit="1" customWidth="1"/>
    <col min="2401" max="2401" width="8.28515625" style="2" bestFit="1" customWidth="1"/>
    <col min="2402" max="2403" width="7.7109375" style="2" bestFit="1" customWidth="1"/>
    <col min="2404" max="2404" width="6.5703125" style="2" bestFit="1" customWidth="1"/>
    <col min="2405" max="2405" width="8.28515625" style="2" bestFit="1" customWidth="1"/>
    <col min="2406" max="2406" width="6.5703125" style="2" bestFit="1" customWidth="1"/>
    <col min="2407" max="2407" width="7.140625" style="2" bestFit="1" customWidth="1"/>
    <col min="2408" max="2408" width="7.7109375" style="2" bestFit="1" customWidth="1"/>
    <col min="2409" max="2409" width="8.28515625" style="2" bestFit="1" customWidth="1"/>
    <col min="2410" max="2412" width="7.7109375" style="2" bestFit="1" customWidth="1"/>
    <col min="2413" max="2413" width="8.28515625" style="2" bestFit="1" customWidth="1"/>
    <col min="2414" max="2415" width="7.7109375" style="2" bestFit="1" customWidth="1"/>
    <col min="2416" max="2417" width="9.85546875" style="2" customWidth="1"/>
    <col min="2418" max="2418" width="8.5703125" style="2" customWidth="1"/>
    <col min="2419" max="2420" width="8.85546875" style="2" customWidth="1"/>
    <col min="2421" max="2421" width="9.7109375" style="2" customWidth="1"/>
    <col min="2422" max="2422" width="8.5703125" style="2" customWidth="1"/>
    <col min="2423" max="2423" width="7.7109375" style="2" bestFit="1" customWidth="1"/>
    <col min="2424" max="2424" width="7.5703125" style="2" customWidth="1"/>
    <col min="2425" max="2425" width="8.28515625" style="2" bestFit="1" customWidth="1"/>
    <col min="2426" max="2426" width="8.28515625" style="2" customWidth="1"/>
    <col min="2427" max="2427" width="7.140625" style="2" bestFit="1" customWidth="1"/>
    <col min="2428" max="2428" width="9" style="2" customWidth="1"/>
    <col min="2429" max="2429" width="9.5703125" style="2" customWidth="1"/>
    <col min="2430" max="2430" width="9.7109375" style="2" customWidth="1"/>
    <col min="2431" max="2431" width="10.85546875" style="2" customWidth="1"/>
    <col min="2432" max="2432" width="10.42578125" style="2" customWidth="1"/>
    <col min="2433" max="2434" width="11.28515625" style="2" customWidth="1"/>
    <col min="2435" max="2435" width="11" style="2" customWidth="1"/>
    <col min="2436" max="2436" width="6.7109375" style="2" customWidth="1"/>
    <col min="2437" max="2439" width="9.85546875" style="2"/>
    <col min="2440" max="2440" width="13.140625" style="2" customWidth="1"/>
    <col min="2441" max="2517" width="9.85546875" style="2"/>
    <col min="2518" max="2518" width="27.5703125" style="2" customWidth="1"/>
    <col min="2519" max="2519" width="5.28515625" style="2" customWidth="1"/>
    <col min="2520" max="2521" width="9" style="2" customWidth="1"/>
    <col min="2522" max="2522" width="9.5703125" style="2" customWidth="1"/>
    <col min="2523" max="2523" width="9.7109375" style="2" customWidth="1"/>
    <col min="2524" max="2524" width="7.5703125" style="2" customWidth="1"/>
    <col min="2525" max="2525" width="10.42578125" style="2" customWidth="1"/>
    <col min="2526" max="2526" width="9.140625" style="2" bestFit="1" customWidth="1"/>
    <col min="2527" max="2527" width="7.28515625" style="2" customWidth="1"/>
    <col min="2528" max="2529" width="9.28515625" style="2" customWidth="1"/>
    <col min="2530" max="2530" width="9.5703125" style="2" customWidth="1"/>
    <col min="2531" max="2532" width="9" style="2" customWidth="1"/>
    <col min="2533" max="2533" width="8" style="2" customWidth="1"/>
    <col min="2534" max="2534" width="8.5703125" style="2" customWidth="1"/>
    <col min="2535" max="2535" width="8.28515625" style="2" customWidth="1"/>
    <col min="2536" max="2536" width="9.5703125" style="2" customWidth="1"/>
    <col min="2537" max="2537" width="8.42578125" style="2" customWidth="1"/>
    <col min="2538" max="2538" width="8.140625" style="2" customWidth="1"/>
    <col min="2539" max="2539" width="7.5703125" style="2" customWidth="1"/>
    <col min="2540" max="2540" width="9.140625" style="2" customWidth="1"/>
    <col min="2541" max="2541" width="9" style="2" customWidth="1"/>
    <col min="2542" max="2542" width="8.5703125" style="2" customWidth="1"/>
    <col min="2543" max="2543" width="7.85546875" style="2" customWidth="1"/>
    <col min="2544" max="2544" width="6.7109375" style="2" customWidth="1"/>
    <col min="2545" max="2545" width="5.7109375" style="2" customWidth="1"/>
    <col min="2546" max="2546" width="6.28515625" style="2" customWidth="1"/>
    <col min="2547" max="2547" width="6.5703125" style="2" customWidth="1"/>
    <col min="2548" max="2548" width="8.7109375" style="2" customWidth="1"/>
    <col min="2549" max="2549" width="9" style="2" customWidth="1"/>
    <col min="2550" max="2550" width="8.28515625" style="2" customWidth="1"/>
    <col min="2551" max="2551" width="8.42578125" style="2" customWidth="1"/>
    <col min="2552" max="2552" width="9.85546875" style="2" customWidth="1"/>
    <col min="2553" max="2553" width="10" style="2" customWidth="1"/>
    <col min="2554" max="2554" width="10.140625" style="2" customWidth="1"/>
    <col min="2555" max="2555" width="10.5703125" style="2" customWidth="1"/>
    <col min="2556" max="2556" width="8.140625" style="2" customWidth="1"/>
    <col min="2557" max="2557" width="7.85546875" style="2" customWidth="1"/>
    <col min="2558" max="2558" width="9" style="2" customWidth="1"/>
    <col min="2559" max="2559" width="10" style="2" customWidth="1"/>
    <col min="2560" max="2560" width="10.28515625" style="2" customWidth="1"/>
    <col min="2561" max="2561" width="10.140625" style="2" customWidth="1"/>
    <col min="2562" max="2562" width="10.5703125" style="2" customWidth="1"/>
    <col min="2563" max="2563" width="10.28515625" style="2" customWidth="1"/>
    <col min="2564" max="2564" width="9.7109375" style="2" customWidth="1"/>
    <col min="2565" max="2565" width="9.140625" style="2" bestFit="1" customWidth="1"/>
    <col min="2566" max="2566" width="9.28515625" style="2" customWidth="1"/>
    <col min="2567" max="2567" width="9" style="2" customWidth="1"/>
    <col min="2568" max="2568" width="8" style="2" customWidth="1"/>
    <col min="2569" max="2569" width="8.28515625" style="2" customWidth="1"/>
    <col min="2570" max="2570" width="7.85546875" style="2" customWidth="1"/>
    <col min="2571" max="2571" width="9" style="2" customWidth="1"/>
    <col min="2572" max="2572" width="8.42578125" style="2" customWidth="1"/>
    <col min="2573" max="2573" width="8.28515625" style="2" bestFit="1" customWidth="1"/>
    <col min="2574" max="2575" width="9" style="2" customWidth="1"/>
    <col min="2576" max="2576" width="7.140625" style="2" customWidth="1"/>
    <col min="2577" max="2577" width="9.140625" style="2" customWidth="1"/>
    <col min="2578" max="2578" width="7.7109375" style="2" customWidth="1"/>
    <col min="2579" max="2579" width="7.5703125" style="2" customWidth="1"/>
    <col min="2580" max="2580" width="10" style="2" customWidth="1"/>
    <col min="2581" max="2582" width="10.140625" style="2" bestFit="1" customWidth="1"/>
    <col min="2583" max="2583" width="12.7109375" style="2" bestFit="1" customWidth="1"/>
    <col min="2584" max="2584" width="9.140625" style="2" customWidth="1"/>
    <col min="2585" max="2585" width="9" style="2" customWidth="1"/>
    <col min="2586" max="2586" width="8.85546875" style="2" customWidth="1"/>
    <col min="2587" max="2587" width="10.42578125" style="2" customWidth="1"/>
    <col min="2588" max="2588" width="8.7109375" style="2" customWidth="1"/>
    <col min="2589" max="2589" width="8.140625" style="2" customWidth="1"/>
    <col min="2590" max="2590" width="7.7109375" style="2" customWidth="1"/>
    <col min="2591" max="2591" width="9.7109375" style="2" customWidth="1"/>
    <col min="2592" max="2592" width="6.5703125" style="2" bestFit="1" customWidth="1"/>
    <col min="2593" max="2594" width="7.5703125" style="2" customWidth="1"/>
    <col min="2595" max="2595" width="7.7109375" style="2" customWidth="1"/>
    <col min="2596" max="2597" width="9.28515625" style="2" bestFit="1" customWidth="1"/>
    <col min="2598" max="2598" width="9.5703125" style="2" customWidth="1"/>
    <col min="2599" max="2599" width="9.140625" style="2" customWidth="1"/>
    <col min="2600" max="2601" width="7.85546875" style="2" customWidth="1"/>
    <col min="2602" max="2602" width="9.42578125" style="2" customWidth="1"/>
    <col min="2603" max="2603" width="10" style="2" customWidth="1"/>
    <col min="2604" max="2604" width="6.42578125" style="2" customWidth="1"/>
    <col min="2605" max="2605" width="9" style="2" customWidth="1"/>
    <col min="2606" max="2606" width="8.85546875" style="2" customWidth="1"/>
    <col min="2607" max="2607" width="7.7109375" style="2" customWidth="1"/>
    <col min="2608" max="2608" width="9.7109375" style="2" customWidth="1"/>
    <col min="2609" max="2609" width="9.42578125" style="2" customWidth="1"/>
    <col min="2610" max="2610" width="9.85546875" style="2" customWidth="1"/>
    <col min="2611" max="2611" width="7.7109375" style="2" customWidth="1"/>
    <col min="2612" max="2612" width="8.5703125" style="2" customWidth="1"/>
    <col min="2613" max="2613" width="9.140625" style="2" customWidth="1"/>
    <col min="2614" max="2614" width="10.140625" style="2" customWidth="1"/>
    <col min="2615" max="2615" width="10.42578125" style="2" customWidth="1"/>
    <col min="2616" max="2617" width="7.85546875" style="2" customWidth="1"/>
    <col min="2618" max="2618" width="8.28515625" style="2" customWidth="1"/>
    <col min="2619" max="2619" width="10.42578125" style="2" customWidth="1"/>
    <col min="2620" max="2621" width="7.85546875" style="2" customWidth="1"/>
    <col min="2622" max="2622" width="8.28515625" style="2" customWidth="1"/>
    <col min="2623" max="2623" width="10.42578125" style="2" customWidth="1"/>
    <col min="2624" max="2624" width="8.5703125" style="2" customWidth="1"/>
    <col min="2625" max="2625" width="8.85546875" style="2" customWidth="1"/>
    <col min="2626" max="2626" width="8.7109375" style="2" customWidth="1"/>
    <col min="2627" max="2627" width="7.140625" style="2" bestFit="1" customWidth="1"/>
    <col min="2628" max="2628" width="7.7109375" style="2" bestFit="1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8.85546875" style="2" customWidth="1"/>
    <col min="2633" max="2633" width="9.42578125" style="2" customWidth="1"/>
    <col min="2634" max="2635" width="7.7109375" style="2" bestFit="1" customWidth="1"/>
    <col min="2636" max="2636" width="8.85546875" style="2" customWidth="1"/>
    <col min="2637" max="2637" width="9.42578125" style="2" customWidth="1"/>
    <col min="2638" max="2639" width="7.7109375" style="2" bestFit="1" customWidth="1"/>
    <col min="2640" max="2640" width="9.140625" style="2" customWidth="1"/>
    <col min="2641" max="2641" width="10" style="2" customWidth="1"/>
    <col min="2642" max="2642" width="9.5703125" style="2" customWidth="1"/>
    <col min="2643" max="2643" width="9.28515625" style="2" bestFit="1" customWidth="1"/>
    <col min="2644" max="2644" width="9.28515625" style="2" customWidth="1"/>
    <col min="2645" max="2645" width="9.28515625" style="2" bestFit="1" customWidth="1"/>
    <col min="2646" max="2646" width="10.28515625" style="2" customWidth="1"/>
    <col min="2647" max="2647" width="7.7109375" style="2" bestFit="1" customWidth="1"/>
    <col min="2648" max="2648" width="8" style="2" customWidth="1"/>
    <col min="2649" max="2649" width="8.5703125" style="2" customWidth="1"/>
    <col min="2650" max="2650" width="9.7109375" style="2" customWidth="1"/>
    <col min="2651" max="2651" width="9.42578125" style="2" customWidth="1"/>
    <col min="2652" max="2652" width="9.140625" style="2" customWidth="1"/>
    <col min="2653" max="2653" width="11.42578125" style="2" customWidth="1"/>
    <col min="2654" max="2654" width="12.5703125" style="2" customWidth="1"/>
    <col min="2655" max="2655" width="10.28515625" style="2" customWidth="1"/>
    <col min="2656" max="2656" width="7.7109375" style="2" bestFit="1" customWidth="1"/>
    <col min="2657" max="2657" width="8.28515625" style="2" bestFit="1" customWidth="1"/>
    <col min="2658" max="2659" width="7.7109375" style="2" bestFit="1" customWidth="1"/>
    <col min="2660" max="2660" width="6.5703125" style="2" bestFit="1" customWidth="1"/>
    <col min="2661" max="2661" width="8.28515625" style="2" bestFit="1" customWidth="1"/>
    <col min="2662" max="2662" width="6.5703125" style="2" bestFit="1" customWidth="1"/>
    <col min="2663" max="2663" width="7.140625" style="2" bestFit="1" customWidth="1"/>
    <col min="2664" max="2664" width="7.7109375" style="2" bestFit="1" customWidth="1"/>
    <col min="2665" max="2665" width="8.28515625" style="2" bestFit="1" customWidth="1"/>
    <col min="2666" max="2668" width="7.7109375" style="2" bestFit="1" customWidth="1"/>
    <col min="2669" max="2669" width="8.28515625" style="2" bestFit="1" customWidth="1"/>
    <col min="2670" max="2671" width="7.7109375" style="2" bestFit="1" customWidth="1"/>
    <col min="2672" max="2673" width="9.85546875" style="2" customWidth="1"/>
    <col min="2674" max="2674" width="8.5703125" style="2" customWidth="1"/>
    <col min="2675" max="2676" width="8.85546875" style="2" customWidth="1"/>
    <col min="2677" max="2677" width="9.7109375" style="2" customWidth="1"/>
    <col min="2678" max="2678" width="8.5703125" style="2" customWidth="1"/>
    <col min="2679" max="2679" width="7.7109375" style="2" bestFit="1" customWidth="1"/>
    <col min="2680" max="2680" width="7.5703125" style="2" customWidth="1"/>
    <col min="2681" max="2681" width="8.28515625" style="2" bestFit="1" customWidth="1"/>
    <col min="2682" max="2682" width="8.28515625" style="2" customWidth="1"/>
    <col min="2683" max="2683" width="7.140625" style="2" bestFit="1" customWidth="1"/>
    <col min="2684" max="2684" width="9" style="2" customWidth="1"/>
    <col min="2685" max="2685" width="9.5703125" style="2" customWidth="1"/>
    <col min="2686" max="2686" width="9.7109375" style="2" customWidth="1"/>
    <col min="2687" max="2687" width="10.85546875" style="2" customWidth="1"/>
    <col min="2688" max="2688" width="10.42578125" style="2" customWidth="1"/>
    <col min="2689" max="2690" width="11.28515625" style="2" customWidth="1"/>
    <col min="2691" max="2691" width="11" style="2" customWidth="1"/>
    <col min="2692" max="2692" width="6.7109375" style="2" customWidth="1"/>
    <col min="2693" max="2695" width="9.85546875" style="2"/>
    <col min="2696" max="2696" width="13.140625" style="2" customWidth="1"/>
    <col min="2697" max="2773" width="9.85546875" style="2"/>
    <col min="2774" max="2774" width="27.5703125" style="2" customWidth="1"/>
    <col min="2775" max="2775" width="5.28515625" style="2" customWidth="1"/>
    <col min="2776" max="2777" width="9" style="2" customWidth="1"/>
    <col min="2778" max="2778" width="9.5703125" style="2" customWidth="1"/>
    <col min="2779" max="2779" width="9.7109375" style="2" customWidth="1"/>
    <col min="2780" max="2780" width="7.5703125" style="2" customWidth="1"/>
    <col min="2781" max="2781" width="10.42578125" style="2" customWidth="1"/>
    <col min="2782" max="2782" width="9.140625" style="2" bestFit="1" customWidth="1"/>
    <col min="2783" max="2783" width="7.28515625" style="2" customWidth="1"/>
    <col min="2784" max="2785" width="9.28515625" style="2" customWidth="1"/>
    <col min="2786" max="2786" width="9.5703125" style="2" customWidth="1"/>
    <col min="2787" max="2788" width="9" style="2" customWidth="1"/>
    <col min="2789" max="2789" width="8" style="2" customWidth="1"/>
    <col min="2790" max="2790" width="8.5703125" style="2" customWidth="1"/>
    <col min="2791" max="2791" width="8.28515625" style="2" customWidth="1"/>
    <col min="2792" max="2792" width="9.5703125" style="2" customWidth="1"/>
    <col min="2793" max="2793" width="8.42578125" style="2" customWidth="1"/>
    <col min="2794" max="2794" width="8.140625" style="2" customWidth="1"/>
    <col min="2795" max="2795" width="7.5703125" style="2" customWidth="1"/>
    <col min="2796" max="2796" width="9.140625" style="2" customWidth="1"/>
    <col min="2797" max="2797" width="9" style="2" customWidth="1"/>
    <col min="2798" max="2798" width="8.5703125" style="2" customWidth="1"/>
    <col min="2799" max="2799" width="7.85546875" style="2" customWidth="1"/>
    <col min="2800" max="2800" width="6.7109375" style="2" customWidth="1"/>
    <col min="2801" max="2801" width="5.7109375" style="2" customWidth="1"/>
    <col min="2802" max="2802" width="6.28515625" style="2" customWidth="1"/>
    <col min="2803" max="2803" width="6.5703125" style="2" customWidth="1"/>
    <col min="2804" max="2804" width="8.7109375" style="2" customWidth="1"/>
    <col min="2805" max="2805" width="9" style="2" customWidth="1"/>
    <col min="2806" max="2806" width="8.28515625" style="2" customWidth="1"/>
    <col min="2807" max="2807" width="8.42578125" style="2" customWidth="1"/>
    <col min="2808" max="2808" width="9.85546875" style="2" customWidth="1"/>
    <col min="2809" max="2809" width="10" style="2" customWidth="1"/>
    <col min="2810" max="2810" width="10.140625" style="2" customWidth="1"/>
    <col min="2811" max="2811" width="10.5703125" style="2" customWidth="1"/>
    <col min="2812" max="2812" width="8.140625" style="2" customWidth="1"/>
    <col min="2813" max="2813" width="7.85546875" style="2" customWidth="1"/>
    <col min="2814" max="2814" width="9" style="2" customWidth="1"/>
    <col min="2815" max="2815" width="10" style="2" customWidth="1"/>
    <col min="2816" max="2816" width="10.28515625" style="2" customWidth="1"/>
    <col min="2817" max="2817" width="10.140625" style="2" customWidth="1"/>
    <col min="2818" max="2818" width="10.5703125" style="2" customWidth="1"/>
    <col min="2819" max="2819" width="10.28515625" style="2" customWidth="1"/>
    <col min="2820" max="2820" width="9.7109375" style="2" customWidth="1"/>
    <col min="2821" max="2821" width="9.140625" style="2" bestFit="1" customWidth="1"/>
    <col min="2822" max="2822" width="9.28515625" style="2" customWidth="1"/>
    <col min="2823" max="2823" width="9" style="2" customWidth="1"/>
    <col min="2824" max="2824" width="8" style="2" customWidth="1"/>
    <col min="2825" max="2825" width="8.28515625" style="2" customWidth="1"/>
    <col min="2826" max="2826" width="7.85546875" style="2" customWidth="1"/>
    <col min="2827" max="2827" width="9" style="2" customWidth="1"/>
    <col min="2828" max="2828" width="8.42578125" style="2" customWidth="1"/>
    <col min="2829" max="2829" width="8.28515625" style="2" bestFit="1" customWidth="1"/>
    <col min="2830" max="2831" width="9" style="2" customWidth="1"/>
    <col min="2832" max="2832" width="7.140625" style="2" customWidth="1"/>
    <col min="2833" max="2833" width="9.140625" style="2" customWidth="1"/>
    <col min="2834" max="2834" width="7.7109375" style="2" customWidth="1"/>
    <col min="2835" max="2835" width="7.5703125" style="2" customWidth="1"/>
    <col min="2836" max="2836" width="10" style="2" customWidth="1"/>
    <col min="2837" max="2838" width="10.140625" style="2" bestFit="1" customWidth="1"/>
    <col min="2839" max="2839" width="12.7109375" style="2" bestFit="1" customWidth="1"/>
    <col min="2840" max="2840" width="9.140625" style="2" customWidth="1"/>
    <col min="2841" max="2841" width="9" style="2" customWidth="1"/>
    <col min="2842" max="2842" width="8.85546875" style="2" customWidth="1"/>
    <col min="2843" max="2843" width="10.42578125" style="2" customWidth="1"/>
    <col min="2844" max="2844" width="8.7109375" style="2" customWidth="1"/>
    <col min="2845" max="2845" width="8.140625" style="2" customWidth="1"/>
    <col min="2846" max="2846" width="7.7109375" style="2" customWidth="1"/>
    <col min="2847" max="2847" width="9.7109375" style="2" customWidth="1"/>
    <col min="2848" max="2848" width="6.5703125" style="2" bestFit="1" customWidth="1"/>
    <col min="2849" max="2850" width="7.5703125" style="2" customWidth="1"/>
    <col min="2851" max="2851" width="7.7109375" style="2" customWidth="1"/>
    <col min="2852" max="2853" width="9.28515625" style="2" bestFit="1" customWidth="1"/>
    <col min="2854" max="2854" width="9.5703125" style="2" customWidth="1"/>
    <col min="2855" max="2855" width="9.140625" style="2" customWidth="1"/>
    <col min="2856" max="2857" width="7.85546875" style="2" customWidth="1"/>
    <col min="2858" max="2858" width="9.42578125" style="2" customWidth="1"/>
    <col min="2859" max="2859" width="10" style="2" customWidth="1"/>
    <col min="2860" max="2860" width="6.42578125" style="2" customWidth="1"/>
    <col min="2861" max="2861" width="9" style="2" customWidth="1"/>
    <col min="2862" max="2862" width="8.85546875" style="2" customWidth="1"/>
    <col min="2863" max="2863" width="7.7109375" style="2" customWidth="1"/>
    <col min="2864" max="2864" width="9.7109375" style="2" customWidth="1"/>
    <col min="2865" max="2865" width="9.42578125" style="2" customWidth="1"/>
    <col min="2866" max="2866" width="9.85546875" style="2" customWidth="1"/>
    <col min="2867" max="2867" width="7.7109375" style="2" customWidth="1"/>
    <col min="2868" max="2868" width="8.5703125" style="2" customWidth="1"/>
    <col min="2869" max="2869" width="9.140625" style="2" customWidth="1"/>
    <col min="2870" max="2870" width="10.140625" style="2" customWidth="1"/>
    <col min="2871" max="2871" width="10.42578125" style="2" customWidth="1"/>
    <col min="2872" max="2873" width="7.85546875" style="2" customWidth="1"/>
    <col min="2874" max="2874" width="8.28515625" style="2" customWidth="1"/>
    <col min="2875" max="2875" width="10.42578125" style="2" customWidth="1"/>
    <col min="2876" max="2877" width="7.85546875" style="2" customWidth="1"/>
    <col min="2878" max="2878" width="8.28515625" style="2" customWidth="1"/>
    <col min="2879" max="2879" width="10.42578125" style="2" customWidth="1"/>
    <col min="2880" max="2880" width="8.5703125" style="2" customWidth="1"/>
    <col min="2881" max="2881" width="8.85546875" style="2" customWidth="1"/>
    <col min="2882" max="2882" width="8.7109375" style="2" customWidth="1"/>
    <col min="2883" max="2883" width="7.140625" style="2" bestFit="1" customWidth="1"/>
    <col min="2884" max="2884" width="7.7109375" style="2" bestFit="1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8.85546875" style="2" customWidth="1"/>
    <col min="2889" max="2889" width="9.42578125" style="2" customWidth="1"/>
    <col min="2890" max="2891" width="7.7109375" style="2" bestFit="1" customWidth="1"/>
    <col min="2892" max="2892" width="8.85546875" style="2" customWidth="1"/>
    <col min="2893" max="2893" width="9.42578125" style="2" customWidth="1"/>
    <col min="2894" max="2895" width="7.7109375" style="2" bestFit="1" customWidth="1"/>
    <col min="2896" max="2896" width="9.140625" style="2" customWidth="1"/>
    <col min="2897" max="2897" width="10" style="2" customWidth="1"/>
    <col min="2898" max="2898" width="9.5703125" style="2" customWidth="1"/>
    <col min="2899" max="2899" width="9.28515625" style="2" bestFit="1" customWidth="1"/>
    <col min="2900" max="2900" width="9.28515625" style="2" customWidth="1"/>
    <col min="2901" max="2901" width="9.28515625" style="2" bestFit="1" customWidth="1"/>
    <col min="2902" max="2902" width="10.28515625" style="2" customWidth="1"/>
    <col min="2903" max="2903" width="7.7109375" style="2" bestFit="1" customWidth="1"/>
    <col min="2904" max="2904" width="8" style="2" customWidth="1"/>
    <col min="2905" max="2905" width="8.5703125" style="2" customWidth="1"/>
    <col min="2906" max="2906" width="9.7109375" style="2" customWidth="1"/>
    <col min="2907" max="2907" width="9.42578125" style="2" customWidth="1"/>
    <col min="2908" max="2908" width="9.140625" style="2" customWidth="1"/>
    <col min="2909" max="2909" width="11.42578125" style="2" customWidth="1"/>
    <col min="2910" max="2910" width="12.5703125" style="2" customWidth="1"/>
    <col min="2911" max="2911" width="10.28515625" style="2" customWidth="1"/>
    <col min="2912" max="2912" width="7.7109375" style="2" bestFit="1" customWidth="1"/>
    <col min="2913" max="2913" width="8.28515625" style="2" bestFit="1" customWidth="1"/>
    <col min="2914" max="2915" width="7.7109375" style="2" bestFit="1" customWidth="1"/>
    <col min="2916" max="2916" width="6.5703125" style="2" bestFit="1" customWidth="1"/>
    <col min="2917" max="2917" width="8.28515625" style="2" bestFit="1" customWidth="1"/>
    <col min="2918" max="2918" width="6.5703125" style="2" bestFit="1" customWidth="1"/>
    <col min="2919" max="2919" width="7.140625" style="2" bestFit="1" customWidth="1"/>
    <col min="2920" max="2920" width="7.7109375" style="2" bestFit="1" customWidth="1"/>
    <col min="2921" max="2921" width="8.28515625" style="2" bestFit="1" customWidth="1"/>
    <col min="2922" max="2924" width="7.7109375" style="2" bestFit="1" customWidth="1"/>
    <col min="2925" max="2925" width="8.28515625" style="2" bestFit="1" customWidth="1"/>
    <col min="2926" max="2927" width="7.7109375" style="2" bestFit="1" customWidth="1"/>
    <col min="2928" max="2929" width="9.85546875" style="2" customWidth="1"/>
    <col min="2930" max="2930" width="8.5703125" style="2" customWidth="1"/>
    <col min="2931" max="2932" width="8.85546875" style="2" customWidth="1"/>
    <col min="2933" max="2933" width="9.7109375" style="2" customWidth="1"/>
    <col min="2934" max="2934" width="8.5703125" style="2" customWidth="1"/>
    <col min="2935" max="2935" width="7.7109375" style="2" bestFit="1" customWidth="1"/>
    <col min="2936" max="2936" width="7.5703125" style="2" customWidth="1"/>
    <col min="2937" max="2937" width="8.28515625" style="2" bestFit="1" customWidth="1"/>
    <col min="2938" max="2938" width="8.28515625" style="2" customWidth="1"/>
    <col min="2939" max="2939" width="7.140625" style="2" bestFit="1" customWidth="1"/>
    <col min="2940" max="2940" width="9" style="2" customWidth="1"/>
    <col min="2941" max="2941" width="9.5703125" style="2" customWidth="1"/>
    <col min="2942" max="2942" width="9.7109375" style="2" customWidth="1"/>
    <col min="2943" max="2943" width="10.85546875" style="2" customWidth="1"/>
    <col min="2944" max="2944" width="10.42578125" style="2" customWidth="1"/>
    <col min="2945" max="2946" width="11.28515625" style="2" customWidth="1"/>
    <col min="2947" max="2947" width="11" style="2" customWidth="1"/>
    <col min="2948" max="2948" width="6.7109375" style="2" customWidth="1"/>
    <col min="2949" max="2951" width="9.85546875" style="2"/>
    <col min="2952" max="2952" width="13.140625" style="2" customWidth="1"/>
    <col min="2953" max="3029" width="9.85546875" style="2"/>
    <col min="3030" max="3030" width="27.5703125" style="2" customWidth="1"/>
    <col min="3031" max="3031" width="5.28515625" style="2" customWidth="1"/>
    <col min="3032" max="3033" width="9" style="2" customWidth="1"/>
    <col min="3034" max="3034" width="9.5703125" style="2" customWidth="1"/>
    <col min="3035" max="3035" width="9.7109375" style="2" customWidth="1"/>
    <col min="3036" max="3036" width="7.5703125" style="2" customWidth="1"/>
    <col min="3037" max="3037" width="10.42578125" style="2" customWidth="1"/>
    <col min="3038" max="3038" width="9.140625" style="2" bestFit="1" customWidth="1"/>
    <col min="3039" max="3039" width="7.28515625" style="2" customWidth="1"/>
    <col min="3040" max="3041" width="9.28515625" style="2" customWidth="1"/>
    <col min="3042" max="3042" width="9.5703125" style="2" customWidth="1"/>
    <col min="3043" max="3044" width="9" style="2" customWidth="1"/>
    <col min="3045" max="3045" width="8" style="2" customWidth="1"/>
    <col min="3046" max="3046" width="8.5703125" style="2" customWidth="1"/>
    <col min="3047" max="3047" width="8.28515625" style="2" customWidth="1"/>
    <col min="3048" max="3048" width="9.5703125" style="2" customWidth="1"/>
    <col min="3049" max="3049" width="8.42578125" style="2" customWidth="1"/>
    <col min="3050" max="3050" width="8.140625" style="2" customWidth="1"/>
    <col min="3051" max="3051" width="7.5703125" style="2" customWidth="1"/>
    <col min="3052" max="3052" width="9.140625" style="2" customWidth="1"/>
    <col min="3053" max="3053" width="9" style="2" customWidth="1"/>
    <col min="3054" max="3054" width="8.5703125" style="2" customWidth="1"/>
    <col min="3055" max="3055" width="7.85546875" style="2" customWidth="1"/>
    <col min="3056" max="3056" width="6.7109375" style="2" customWidth="1"/>
    <col min="3057" max="3057" width="5.7109375" style="2" customWidth="1"/>
    <col min="3058" max="3058" width="6.28515625" style="2" customWidth="1"/>
    <col min="3059" max="3059" width="6.5703125" style="2" customWidth="1"/>
    <col min="3060" max="3060" width="8.7109375" style="2" customWidth="1"/>
    <col min="3061" max="3061" width="9" style="2" customWidth="1"/>
    <col min="3062" max="3062" width="8.28515625" style="2" customWidth="1"/>
    <col min="3063" max="3063" width="8.42578125" style="2" customWidth="1"/>
    <col min="3064" max="3064" width="9.85546875" style="2" customWidth="1"/>
    <col min="3065" max="3065" width="10" style="2" customWidth="1"/>
    <col min="3066" max="3066" width="10.140625" style="2" customWidth="1"/>
    <col min="3067" max="3067" width="10.5703125" style="2" customWidth="1"/>
    <col min="3068" max="3068" width="8.140625" style="2" customWidth="1"/>
    <col min="3069" max="3069" width="7.85546875" style="2" customWidth="1"/>
    <col min="3070" max="3070" width="9" style="2" customWidth="1"/>
    <col min="3071" max="3071" width="10" style="2" customWidth="1"/>
    <col min="3072" max="3072" width="10.28515625" style="2" customWidth="1"/>
    <col min="3073" max="3073" width="10.140625" style="2" customWidth="1"/>
    <col min="3074" max="3074" width="10.5703125" style="2" customWidth="1"/>
    <col min="3075" max="3075" width="10.28515625" style="2" customWidth="1"/>
    <col min="3076" max="3076" width="9.7109375" style="2" customWidth="1"/>
    <col min="3077" max="3077" width="9.140625" style="2" bestFit="1" customWidth="1"/>
    <col min="3078" max="3078" width="9.28515625" style="2" customWidth="1"/>
    <col min="3079" max="3079" width="9" style="2" customWidth="1"/>
    <col min="3080" max="3080" width="8" style="2" customWidth="1"/>
    <col min="3081" max="3081" width="8.28515625" style="2" customWidth="1"/>
    <col min="3082" max="3082" width="7.85546875" style="2" customWidth="1"/>
    <col min="3083" max="3083" width="9" style="2" customWidth="1"/>
    <col min="3084" max="3084" width="8.42578125" style="2" customWidth="1"/>
    <col min="3085" max="3085" width="8.28515625" style="2" bestFit="1" customWidth="1"/>
    <col min="3086" max="3087" width="9" style="2" customWidth="1"/>
    <col min="3088" max="3088" width="7.140625" style="2" customWidth="1"/>
    <col min="3089" max="3089" width="9.140625" style="2" customWidth="1"/>
    <col min="3090" max="3090" width="7.7109375" style="2" customWidth="1"/>
    <col min="3091" max="3091" width="7.5703125" style="2" customWidth="1"/>
    <col min="3092" max="3092" width="10" style="2" customWidth="1"/>
    <col min="3093" max="3094" width="10.140625" style="2" bestFit="1" customWidth="1"/>
    <col min="3095" max="3095" width="12.7109375" style="2" bestFit="1" customWidth="1"/>
    <col min="3096" max="3096" width="9.140625" style="2" customWidth="1"/>
    <col min="3097" max="3097" width="9" style="2" customWidth="1"/>
    <col min="3098" max="3098" width="8.85546875" style="2" customWidth="1"/>
    <col min="3099" max="3099" width="10.42578125" style="2" customWidth="1"/>
    <col min="3100" max="3100" width="8.7109375" style="2" customWidth="1"/>
    <col min="3101" max="3101" width="8.140625" style="2" customWidth="1"/>
    <col min="3102" max="3102" width="7.7109375" style="2" customWidth="1"/>
    <col min="3103" max="3103" width="9.7109375" style="2" customWidth="1"/>
    <col min="3104" max="3104" width="6.5703125" style="2" bestFit="1" customWidth="1"/>
    <col min="3105" max="3106" width="7.5703125" style="2" customWidth="1"/>
    <col min="3107" max="3107" width="7.7109375" style="2" customWidth="1"/>
    <col min="3108" max="3109" width="9.28515625" style="2" bestFit="1" customWidth="1"/>
    <col min="3110" max="3110" width="9.5703125" style="2" customWidth="1"/>
    <col min="3111" max="3111" width="9.140625" style="2" customWidth="1"/>
    <col min="3112" max="3113" width="7.85546875" style="2" customWidth="1"/>
    <col min="3114" max="3114" width="9.42578125" style="2" customWidth="1"/>
    <col min="3115" max="3115" width="10" style="2" customWidth="1"/>
    <col min="3116" max="3116" width="6.42578125" style="2" customWidth="1"/>
    <col min="3117" max="3117" width="9" style="2" customWidth="1"/>
    <col min="3118" max="3118" width="8.85546875" style="2" customWidth="1"/>
    <col min="3119" max="3119" width="7.7109375" style="2" customWidth="1"/>
    <col min="3120" max="3120" width="9.7109375" style="2" customWidth="1"/>
    <col min="3121" max="3121" width="9.42578125" style="2" customWidth="1"/>
    <col min="3122" max="3122" width="9.85546875" style="2" customWidth="1"/>
    <col min="3123" max="3123" width="7.7109375" style="2" customWidth="1"/>
    <col min="3124" max="3124" width="8.5703125" style="2" customWidth="1"/>
    <col min="3125" max="3125" width="9.140625" style="2" customWidth="1"/>
    <col min="3126" max="3126" width="10.140625" style="2" customWidth="1"/>
    <col min="3127" max="3127" width="10.42578125" style="2" customWidth="1"/>
    <col min="3128" max="3129" width="7.85546875" style="2" customWidth="1"/>
    <col min="3130" max="3130" width="8.28515625" style="2" customWidth="1"/>
    <col min="3131" max="3131" width="10.42578125" style="2" customWidth="1"/>
    <col min="3132" max="3133" width="7.85546875" style="2" customWidth="1"/>
    <col min="3134" max="3134" width="8.28515625" style="2" customWidth="1"/>
    <col min="3135" max="3135" width="10.42578125" style="2" customWidth="1"/>
    <col min="3136" max="3136" width="8.5703125" style="2" customWidth="1"/>
    <col min="3137" max="3137" width="8.85546875" style="2" customWidth="1"/>
    <col min="3138" max="3138" width="8.7109375" style="2" customWidth="1"/>
    <col min="3139" max="3139" width="7.140625" style="2" bestFit="1" customWidth="1"/>
    <col min="3140" max="3140" width="7.7109375" style="2" bestFit="1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8.85546875" style="2" customWidth="1"/>
    <col min="3145" max="3145" width="9.42578125" style="2" customWidth="1"/>
    <col min="3146" max="3147" width="7.7109375" style="2" bestFit="1" customWidth="1"/>
    <col min="3148" max="3148" width="8.85546875" style="2" customWidth="1"/>
    <col min="3149" max="3149" width="9.42578125" style="2" customWidth="1"/>
    <col min="3150" max="3151" width="7.7109375" style="2" bestFit="1" customWidth="1"/>
    <col min="3152" max="3152" width="9.140625" style="2" customWidth="1"/>
    <col min="3153" max="3153" width="10" style="2" customWidth="1"/>
    <col min="3154" max="3154" width="9.5703125" style="2" customWidth="1"/>
    <col min="3155" max="3155" width="9.28515625" style="2" bestFit="1" customWidth="1"/>
    <col min="3156" max="3156" width="9.28515625" style="2" customWidth="1"/>
    <col min="3157" max="3157" width="9.28515625" style="2" bestFit="1" customWidth="1"/>
    <col min="3158" max="3158" width="10.28515625" style="2" customWidth="1"/>
    <col min="3159" max="3159" width="7.7109375" style="2" bestFit="1" customWidth="1"/>
    <col min="3160" max="3160" width="8" style="2" customWidth="1"/>
    <col min="3161" max="3161" width="8.5703125" style="2" customWidth="1"/>
    <col min="3162" max="3162" width="9.7109375" style="2" customWidth="1"/>
    <col min="3163" max="3163" width="9.42578125" style="2" customWidth="1"/>
    <col min="3164" max="3164" width="9.140625" style="2" customWidth="1"/>
    <col min="3165" max="3165" width="11.42578125" style="2" customWidth="1"/>
    <col min="3166" max="3166" width="12.5703125" style="2" customWidth="1"/>
    <col min="3167" max="3167" width="10.28515625" style="2" customWidth="1"/>
    <col min="3168" max="3168" width="7.7109375" style="2" bestFit="1" customWidth="1"/>
    <col min="3169" max="3169" width="8.28515625" style="2" bestFit="1" customWidth="1"/>
    <col min="3170" max="3171" width="7.7109375" style="2" bestFit="1" customWidth="1"/>
    <col min="3172" max="3172" width="6.5703125" style="2" bestFit="1" customWidth="1"/>
    <col min="3173" max="3173" width="8.28515625" style="2" bestFit="1" customWidth="1"/>
    <col min="3174" max="3174" width="6.5703125" style="2" bestFit="1" customWidth="1"/>
    <col min="3175" max="3175" width="7.140625" style="2" bestFit="1" customWidth="1"/>
    <col min="3176" max="3176" width="7.7109375" style="2" bestFit="1" customWidth="1"/>
    <col min="3177" max="3177" width="8.28515625" style="2" bestFit="1" customWidth="1"/>
    <col min="3178" max="3180" width="7.7109375" style="2" bestFit="1" customWidth="1"/>
    <col min="3181" max="3181" width="8.28515625" style="2" bestFit="1" customWidth="1"/>
    <col min="3182" max="3183" width="7.7109375" style="2" bestFit="1" customWidth="1"/>
    <col min="3184" max="3185" width="9.85546875" style="2" customWidth="1"/>
    <col min="3186" max="3186" width="8.5703125" style="2" customWidth="1"/>
    <col min="3187" max="3188" width="8.85546875" style="2" customWidth="1"/>
    <col min="3189" max="3189" width="9.7109375" style="2" customWidth="1"/>
    <col min="3190" max="3190" width="8.5703125" style="2" customWidth="1"/>
    <col min="3191" max="3191" width="7.7109375" style="2" bestFit="1" customWidth="1"/>
    <col min="3192" max="3192" width="7.5703125" style="2" customWidth="1"/>
    <col min="3193" max="3193" width="8.28515625" style="2" bestFit="1" customWidth="1"/>
    <col min="3194" max="3194" width="8.28515625" style="2" customWidth="1"/>
    <col min="3195" max="3195" width="7.140625" style="2" bestFit="1" customWidth="1"/>
    <col min="3196" max="3196" width="9" style="2" customWidth="1"/>
    <col min="3197" max="3197" width="9.5703125" style="2" customWidth="1"/>
    <col min="3198" max="3198" width="9.7109375" style="2" customWidth="1"/>
    <col min="3199" max="3199" width="10.85546875" style="2" customWidth="1"/>
    <col min="3200" max="3200" width="10.42578125" style="2" customWidth="1"/>
    <col min="3201" max="3202" width="11.28515625" style="2" customWidth="1"/>
    <col min="3203" max="3203" width="11" style="2" customWidth="1"/>
    <col min="3204" max="3204" width="6.7109375" style="2" customWidth="1"/>
    <col min="3205" max="3207" width="9.85546875" style="2"/>
    <col min="3208" max="3208" width="13.140625" style="2" customWidth="1"/>
    <col min="3209" max="3285" width="9.85546875" style="2"/>
    <col min="3286" max="3286" width="27.5703125" style="2" customWidth="1"/>
    <col min="3287" max="3287" width="5.28515625" style="2" customWidth="1"/>
    <col min="3288" max="3289" width="9" style="2" customWidth="1"/>
    <col min="3290" max="3290" width="9.5703125" style="2" customWidth="1"/>
    <col min="3291" max="3291" width="9.7109375" style="2" customWidth="1"/>
    <col min="3292" max="3292" width="7.5703125" style="2" customWidth="1"/>
    <col min="3293" max="3293" width="10.42578125" style="2" customWidth="1"/>
    <col min="3294" max="3294" width="9.140625" style="2" bestFit="1" customWidth="1"/>
    <col min="3295" max="3295" width="7.28515625" style="2" customWidth="1"/>
    <col min="3296" max="3297" width="9.28515625" style="2" customWidth="1"/>
    <col min="3298" max="3298" width="9.5703125" style="2" customWidth="1"/>
    <col min="3299" max="3300" width="9" style="2" customWidth="1"/>
    <col min="3301" max="3301" width="8" style="2" customWidth="1"/>
    <col min="3302" max="3302" width="8.5703125" style="2" customWidth="1"/>
    <col min="3303" max="3303" width="8.28515625" style="2" customWidth="1"/>
    <col min="3304" max="3304" width="9.5703125" style="2" customWidth="1"/>
    <col min="3305" max="3305" width="8.42578125" style="2" customWidth="1"/>
    <col min="3306" max="3306" width="8.140625" style="2" customWidth="1"/>
    <col min="3307" max="3307" width="7.5703125" style="2" customWidth="1"/>
    <col min="3308" max="3308" width="9.140625" style="2" customWidth="1"/>
    <col min="3309" max="3309" width="9" style="2" customWidth="1"/>
    <col min="3310" max="3310" width="8.5703125" style="2" customWidth="1"/>
    <col min="3311" max="3311" width="7.85546875" style="2" customWidth="1"/>
    <col min="3312" max="3312" width="6.7109375" style="2" customWidth="1"/>
    <col min="3313" max="3313" width="5.7109375" style="2" customWidth="1"/>
    <col min="3314" max="3314" width="6.28515625" style="2" customWidth="1"/>
    <col min="3315" max="3315" width="6.5703125" style="2" customWidth="1"/>
    <col min="3316" max="3316" width="8.7109375" style="2" customWidth="1"/>
    <col min="3317" max="3317" width="9" style="2" customWidth="1"/>
    <col min="3318" max="3318" width="8.28515625" style="2" customWidth="1"/>
    <col min="3319" max="3319" width="8.42578125" style="2" customWidth="1"/>
    <col min="3320" max="3320" width="9.85546875" style="2" customWidth="1"/>
    <col min="3321" max="3321" width="10" style="2" customWidth="1"/>
    <col min="3322" max="3322" width="10.140625" style="2" customWidth="1"/>
    <col min="3323" max="3323" width="10.5703125" style="2" customWidth="1"/>
    <col min="3324" max="3324" width="8.140625" style="2" customWidth="1"/>
    <col min="3325" max="3325" width="7.85546875" style="2" customWidth="1"/>
    <col min="3326" max="3326" width="9" style="2" customWidth="1"/>
    <col min="3327" max="3327" width="10" style="2" customWidth="1"/>
    <col min="3328" max="3328" width="10.28515625" style="2" customWidth="1"/>
    <col min="3329" max="3329" width="10.140625" style="2" customWidth="1"/>
    <col min="3330" max="3330" width="10.5703125" style="2" customWidth="1"/>
    <col min="3331" max="3331" width="10.28515625" style="2" customWidth="1"/>
    <col min="3332" max="3332" width="9.7109375" style="2" customWidth="1"/>
    <col min="3333" max="3333" width="9.140625" style="2" bestFit="1" customWidth="1"/>
    <col min="3334" max="3334" width="9.28515625" style="2" customWidth="1"/>
    <col min="3335" max="3335" width="9" style="2" customWidth="1"/>
    <col min="3336" max="3336" width="8" style="2" customWidth="1"/>
    <col min="3337" max="3337" width="8.28515625" style="2" customWidth="1"/>
    <col min="3338" max="3338" width="7.85546875" style="2" customWidth="1"/>
    <col min="3339" max="3339" width="9" style="2" customWidth="1"/>
    <col min="3340" max="3340" width="8.42578125" style="2" customWidth="1"/>
    <col min="3341" max="3341" width="8.28515625" style="2" bestFit="1" customWidth="1"/>
    <col min="3342" max="3343" width="9" style="2" customWidth="1"/>
    <col min="3344" max="3344" width="7.140625" style="2" customWidth="1"/>
    <col min="3345" max="3345" width="9.140625" style="2" customWidth="1"/>
    <col min="3346" max="3346" width="7.7109375" style="2" customWidth="1"/>
    <col min="3347" max="3347" width="7.5703125" style="2" customWidth="1"/>
    <col min="3348" max="3348" width="10" style="2" customWidth="1"/>
    <col min="3349" max="3350" width="10.140625" style="2" bestFit="1" customWidth="1"/>
    <col min="3351" max="3351" width="12.7109375" style="2" bestFit="1" customWidth="1"/>
    <col min="3352" max="3352" width="9.140625" style="2" customWidth="1"/>
    <col min="3353" max="3353" width="9" style="2" customWidth="1"/>
    <col min="3354" max="3354" width="8.85546875" style="2" customWidth="1"/>
    <col min="3355" max="3355" width="10.42578125" style="2" customWidth="1"/>
    <col min="3356" max="3356" width="8.7109375" style="2" customWidth="1"/>
    <col min="3357" max="3357" width="8.140625" style="2" customWidth="1"/>
    <col min="3358" max="3358" width="7.7109375" style="2" customWidth="1"/>
    <col min="3359" max="3359" width="9.7109375" style="2" customWidth="1"/>
    <col min="3360" max="3360" width="6.5703125" style="2" bestFit="1" customWidth="1"/>
    <col min="3361" max="3362" width="7.5703125" style="2" customWidth="1"/>
    <col min="3363" max="3363" width="7.7109375" style="2" customWidth="1"/>
    <col min="3364" max="3365" width="9.28515625" style="2" bestFit="1" customWidth="1"/>
    <col min="3366" max="3366" width="9.5703125" style="2" customWidth="1"/>
    <col min="3367" max="3367" width="9.140625" style="2" customWidth="1"/>
    <col min="3368" max="3369" width="7.85546875" style="2" customWidth="1"/>
    <col min="3370" max="3370" width="9.42578125" style="2" customWidth="1"/>
    <col min="3371" max="3371" width="10" style="2" customWidth="1"/>
    <col min="3372" max="3372" width="6.42578125" style="2" customWidth="1"/>
    <col min="3373" max="3373" width="9" style="2" customWidth="1"/>
    <col min="3374" max="3374" width="8.85546875" style="2" customWidth="1"/>
    <col min="3375" max="3375" width="7.7109375" style="2" customWidth="1"/>
    <col min="3376" max="3376" width="9.7109375" style="2" customWidth="1"/>
    <col min="3377" max="3377" width="9.42578125" style="2" customWidth="1"/>
    <col min="3378" max="3378" width="9.85546875" style="2" customWidth="1"/>
    <col min="3379" max="3379" width="7.7109375" style="2" customWidth="1"/>
    <col min="3380" max="3380" width="8.5703125" style="2" customWidth="1"/>
    <col min="3381" max="3381" width="9.140625" style="2" customWidth="1"/>
    <col min="3382" max="3382" width="10.140625" style="2" customWidth="1"/>
    <col min="3383" max="3383" width="10.42578125" style="2" customWidth="1"/>
    <col min="3384" max="3385" width="7.85546875" style="2" customWidth="1"/>
    <col min="3386" max="3386" width="8.28515625" style="2" customWidth="1"/>
    <col min="3387" max="3387" width="10.42578125" style="2" customWidth="1"/>
    <col min="3388" max="3389" width="7.85546875" style="2" customWidth="1"/>
    <col min="3390" max="3390" width="8.28515625" style="2" customWidth="1"/>
    <col min="3391" max="3391" width="10.42578125" style="2" customWidth="1"/>
    <col min="3392" max="3392" width="8.5703125" style="2" customWidth="1"/>
    <col min="3393" max="3393" width="8.85546875" style="2" customWidth="1"/>
    <col min="3394" max="3394" width="8.7109375" style="2" customWidth="1"/>
    <col min="3395" max="3395" width="7.140625" style="2" bestFit="1" customWidth="1"/>
    <col min="3396" max="3396" width="7.7109375" style="2" bestFit="1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8.85546875" style="2" customWidth="1"/>
    <col min="3401" max="3401" width="9.42578125" style="2" customWidth="1"/>
    <col min="3402" max="3403" width="7.7109375" style="2" bestFit="1" customWidth="1"/>
    <col min="3404" max="3404" width="8.85546875" style="2" customWidth="1"/>
    <col min="3405" max="3405" width="9.42578125" style="2" customWidth="1"/>
    <col min="3406" max="3407" width="7.7109375" style="2" bestFit="1" customWidth="1"/>
    <col min="3408" max="3408" width="9.140625" style="2" customWidth="1"/>
    <col min="3409" max="3409" width="10" style="2" customWidth="1"/>
    <col min="3410" max="3410" width="9.5703125" style="2" customWidth="1"/>
    <col min="3411" max="3411" width="9.28515625" style="2" bestFit="1" customWidth="1"/>
    <col min="3412" max="3412" width="9.28515625" style="2" customWidth="1"/>
    <col min="3413" max="3413" width="9.28515625" style="2" bestFit="1" customWidth="1"/>
    <col min="3414" max="3414" width="10.28515625" style="2" customWidth="1"/>
    <col min="3415" max="3415" width="7.7109375" style="2" bestFit="1" customWidth="1"/>
    <col min="3416" max="3416" width="8" style="2" customWidth="1"/>
    <col min="3417" max="3417" width="8.5703125" style="2" customWidth="1"/>
    <col min="3418" max="3418" width="9.7109375" style="2" customWidth="1"/>
    <col min="3419" max="3419" width="9.42578125" style="2" customWidth="1"/>
    <col min="3420" max="3420" width="9.140625" style="2" customWidth="1"/>
    <col min="3421" max="3421" width="11.42578125" style="2" customWidth="1"/>
    <col min="3422" max="3422" width="12.5703125" style="2" customWidth="1"/>
    <col min="3423" max="3423" width="10.28515625" style="2" customWidth="1"/>
    <col min="3424" max="3424" width="7.7109375" style="2" bestFit="1" customWidth="1"/>
    <col min="3425" max="3425" width="8.28515625" style="2" bestFit="1" customWidth="1"/>
    <col min="3426" max="3427" width="7.7109375" style="2" bestFit="1" customWidth="1"/>
    <col min="3428" max="3428" width="6.5703125" style="2" bestFit="1" customWidth="1"/>
    <col min="3429" max="3429" width="8.28515625" style="2" bestFit="1" customWidth="1"/>
    <col min="3430" max="3430" width="6.5703125" style="2" bestFit="1" customWidth="1"/>
    <col min="3431" max="3431" width="7.140625" style="2" bestFit="1" customWidth="1"/>
    <col min="3432" max="3432" width="7.7109375" style="2" bestFit="1" customWidth="1"/>
    <col min="3433" max="3433" width="8.28515625" style="2" bestFit="1" customWidth="1"/>
    <col min="3434" max="3436" width="7.7109375" style="2" bestFit="1" customWidth="1"/>
    <col min="3437" max="3437" width="8.28515625" style="2" bestFit="1" customWidth="1"/>
    <col min="3438" max="3439" width="7.7109375" style="2" bestFit="1" customWidth="1"/>
    <col min="3440" max="3441" width="9.85546875" style="2" customWidth="1"/>
    <col min="3442" max="3442" width="8.5703125" style="2" customWidth="1"/>
    <col min="3443" max="3444" width="8.85546875" style="2" customWidth="1"/>
    <col min="3445" max="3445" width="9.7109375" style="2" customWidth="1"/>
    <col min="3446" max="3446" width="8.5703125" style="2" customWidth="1"/>
    <col min="3447" max="3447" width="7.7109375" style="2" bestFit="1" customWidth="1"/>
    <col min="3448" max="3448" width="7.5703125" style="2" customWidth="1"/>
    <col min="3449" max="3449" width="8.28515625" style="2" bestFit="1" customWidth="1"/>
    <col min="3450" max="3450" width="8.28515625" style="2" customWidth="1"/>
    <col min="3451" max="3451" width="7.140625" style="2" bestFit="1" customWidth="1"/>
    <col min="3452" max="3452" width="9" style="2" customWidth="1"/>
    <col min="3453" max="3453" width="9.5703125" style="2" customWidth="1"/>
    <col min="3454" max="3454" width="9.7109375" style="2" customWidth="1"/>
    <col min="3455" max="3455" width="10.85546875" style="2" customWidth="1"/>
    <col min="3456" max="3456" width="10.42578125" style="2" customWidth="1"/>
    <col min="3457" max="3458" width="11.28515625" style="2" customWidth="1"/>
    <col min="3459" max="3459" width="11" style="2" customWidth="1"/>
    <col min="3460" max="3460" width="6.7109375" style="2" customWidth="1"/>
    <col min="3461" max="3463" width="9.85546875" style="2"/>
    <col min="3464" max="3464" width="13.140625" style="2" customWidth="1"/>
    <col min="3465" max="3541" width="9.85546875" style="2"/>
    <col min="3542" max="3542" width="27.5703125" style="2" customWidth="1"/>
    <col min="3543" max="3543" width="5.28515625" style="2" customWidth="1"/>
    <col min="3544" max="3545" width="9" style="2" customWidth="1"/>
    <col min="3546" max="3546" width="9.5703125" style="2" customWidth="1"/>
    <col min="3547" max="3547" width="9.7109375" style="2" customWidth="1"/>
    <col min="3548" max="3548" width="7.5703125" style="2" customWidth="1"/>
    <col min="3549" max="3549" width="10.42578125" style="2" customWidth="1"/>
    <col min="3550" max="3550" width="9.140625" style="2" bestFit="1" customWidth="1"/>
    <col min="3551" max="3551" width="7.28515625" style="2" customWidth="1"/>
    <col min="3552" max="3553" width="9.28515625" style="2" customWidth="1"/>
    <col min="3554" max="3554" width="9.5703125" style="2" customWidth="1"/>
    <col min="3555" max="3556" width="9" style="2" customWidth="1"/>
    <col min="3557" max="3557" width="8" style="2" customWidth="1"/>
    <col min="3558" max="3558" width="8.5703125" style="2" customWidth="1"/>
    <col min="3559" max="3559" width="8.28515625" style="2" customWidth="1"/>
    <col min="3560" max="3560" width="9.5703125" style="2" customWidth="1"/>
    <col min="3561" max="3561" width="8.42578125" style="2" customWidth="1"/>
    <col min="3562" max="3562" width="8.140625" style="2" customWidth="1"/>
    <col min="3563" max="3563" width="7.5703125" style="2" customWidth="1"/>
    <col min="3564" max="3564" width="9.140625" style="2" customWidth="1"/>
    <col min="3565" max="3565" width="9" style="2" customWidth="1"/>
    <col min="3566" max="3566" width="8.5703125" style="2" customWidth="1"/>
    <col min="3567" max="3567" width="7.85546875" style="2" customWidth="1"/>
    <col min="3568" max="3568" width="6.7109375" style="2" customWidth="1"/>
    <col min="3569" max="3569" width="5.7109375" style="2" customWidth="1"/>
    <col min="3570" max="3570" width="6.28515625" style="2" customWidth="1"/>
    <col min="3571" max="3571" width="6.5703125" style="2" customWidth="1"/>
    <col min="3572" max="3572" width="8.7109375" style="2" customWidth="1"/>
    <col min="3573" max="3573" width="9" style="2" customWidth="1"/>
    <col min="3574" max="3574" width="8.28515625" style="2" customWidth="1"/>
    <col min="3575" max="3575" width="8.42578125" style="2" customWidth="1"/>
    <col min="3576" max="3576" width="9.85546875" style="2" customWidth="1"/>
    <col min="3577" max="3577" width="10" style="2" customWidth="1"/>
    <col min="3578" max="3578" width="10.140625" style="2" customWidth="1"/>
    <col min="3579" max="3579" width="10.5703125" style="2" customWidth="1"/>
    <col min="3580" max="3580" width="8.140625" style="2" customWidth="1"/>
    <col min="3581" max="3581" width="7.85546875" style="2" customWidth="1"/>
    <col min="3582" max="3582" width="9" style="2" customWidth="1"/>
    <col min="3583" max="3583" width="10" style="2" customWidth="1"/>
    <col min="3584" max="3584" width="10.28515625" style="2" customWidth="1"/>
    <col min="3585" max="3585" width="10.140625" style="2" customWidth="1"/>
    <col min="3586" max="3586" width="10.5703125" style="2" customWidth="1"/>
    <col min="3587" max="3587" width="10.28515625" style="2" customWidth="1"/>
    <col min="3588" max="3588" width="9.7109375" style="2" customWidth="1"/>
    <col min="3589" max="3589" width="9.140625" style="2" bestFit="1" customWidth="1"/>
    <col min="3590" max="3590" width="9.28515625" style="2" customWidth="1"/>
    <col min="3591" max="3591" width="9" style="2" customWidth="1"/>
    <col min="3592" max="3592" width="8" style="2" customWidth="1"/>
    <col min="3593" max="3593" width="8.28515625" style="2" customWidth="1"/>
    <col min="3594" max="3594" width="7.85546875" style="2" customWidth="1"/>
    <col min="3595" max="3595" width="9" style="2" customWidth="1"/>
    <col min="3596" max="3596" width="8.42578125" style="2" customWidth="1"/>
    <col min="3597" max="3597" width="8.28515625" style="2" bestFit="1" customWidth="1"/>
    <col min="3598" max="3599" width="9" style="2" customWidth="1"/>
    <col min="3600" max="3600" width="7.140625" style="2" customWidth="1"/>
    <col min="3601" max="3601" width="9.140625" style="2" customWidth="1"/>
    <col min="3602" max="3602" width="7.7109375" style="2" customWidth="1"/>
    <col min="3603" max="3603" width="7.5703125" style="2" customWidth="1"/>
    <col min="3604" max="3604" width="10" style="2" customWidth="1"/>
    <col min="3605" max="3606" width="10.140625" style="2" bestFit="1" customWidth="1"/>
    <col min="3607" max="3607" width="12.7109375" style="2" bestFit="1" customWidth="1"/>
    <col min="3608" max="3608" width="9.140625" style="2" customWidth="1"/>
    <col min="3609" max="3609" width="9" style="2" customWidth="1"/>
    <col min="3610" max="3610" width="8.85546875" style="2" customWidth="1"/>
    <col min="3611" max="3611" width="10.42578125" style="2" customWidth="1"/>
    <col min="3612" max="3612" width="8.7109375" style="2" customWidth="1"/>
    <col min="3613" max="3613" width="8.140625" style="2" customWidth="1"/>
    <col min="3614" max="3614" width="7.7109375" style="2" customWidth="1"/>
    <col min="3615" max="3615" width="9.7109375" style="2" customWidth="1"/>
    <col min="3616" max="3616" width="6.5703125" style="2" bestFit="1" customWidth="1"/>
    <col min="3617" max="3618" width="7.5703125" style="2" customWidth="1"/>
    <col min="3619" max="3619" width="7.7109375" style="2" customWidth="1"/>
    <col min="3620" max="3621" width="9.28515625" style="2" bestFit="1" customWidth="1"/>
    <col min="3622" max="3622" width="9.5703125" style="2" customWidth="1"/>
    <col min="3623" max="3623" width="9.140625" style="2" customWidth="1"/>
    <col min="3624" max="3625" width="7.85546875" style="2" customWidth="1"/>
    <col min="3626" max="3626" width="9.42578125" style="2" customWidth="1"/>
    <col min="3627" max="3627" width="10" style="2" customWidth="1"/>
    <col min="3628" max="3628" width="6.42578125" style="2" customWidth="1"/>
    <col min="3629" max="3629" width="9" style="2" customWidth="1"/>
    <col min="3630" max="3630" width="8.85546875" style="2" customWidth="1"/>
    <col min="3631" max="3631" width="7.7109375" style="2" customWidth="1"/>
    <col min="3632" max="3632" width="9.7109375" style="2" customWidth="1"/>
    <col min="3633" max="3633" width="9.42578125" style="2" customWidth="1"/>
    <col min="3634" max="3634" width="9.85546875" style="2" customWidth="1"/>
    <col min="3635" max="3635" width="7.7109375" style="2" customWidth="1"/>
    <col min="3636" max="3636" width="8.5703125" style="2" customWidth="1"/>
    <col min="3637" max="3637" width="9.140625" style="2" customWidth="1"/>
    <col min="3638" max="3638" width="10.140625" style="2" customWidth="1"/>
    <col min="3639" max="3639" width="10.42578125" style="2" customWidth="1"/>
    <col min="3640" max="3641" width="7.85546875" style="2" customWidth="1"/>
    <col min="3642" max="3642" width="8.28515625" style="2" customWidth="1"/>
    <col min="3643" max="3643" width="10.42578125" style="2" customWidth="1"/>
    <col min="3644" max="3645" width="7.85546875" style="2" customWidth="1"/>
    <col min="3646" max="3646" width="8.28515625" style="2" customWidth="1"/>
    <col min="3647" max="3647" width="10.42578125" style="2" customWidth="1"/>
    <col min="3648" max="3648" width="8.5703125" style="2" customWidth="1"/>
    <col min="3649" max="3649" width="8.85546875" style="2" customWidth="1"/>
    <col min="3650" max="3650" width="8.7109375" style="2" customWidth="1"/>
    <col min="3651" max="3651" width="7.140625" style="2" bestFit="1" customWidth="1"/>
    <col min="3652" max="3652" width="7.7109375" style="2" bestFit="1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8.85546875" style="2" customWidth="1"/>
    <col min="3657" max="3657" width="9.42578125" style="2" customWidth="1"/>
    <col min="3658" max="3659" width="7.7109375" style="2" bestFit="1" customWidth="1"/>
    <col min="3660" max="3660" width="8.85546875" style="2" customWidth="1"/>
    <col min="3661" max="3661" width="9.42578125" style="2" customWidth="1"/>
    <col min="3662" max="3663" width="7.7109375" style="2" bestFit="1" customWidth="1"/>
    <col min="3664" max="3664" width="9.140625" style="2" customWidth="1"/>
    <col min="3665" max="3665" width="10" style="2" customWidth="1"/>
    <col min="3666" max="3666" width="9.5703125" style="2" customWidth="1"/>
    <col min="3667" max="3667" width="9.28515625" style="2" bestFit="1" customWidth="1"/>
    <col min="3668" max="3668" width="9.28515625" style="2" customWidth="1"/>
    <col min="3669" max="3669" width="9.28515625" style="2" bestFit="1" customWidth="1"/>
    <col min="3670" max="3670" width="10.28515625" style="2" customWidth="1"/>
    <col min="3671" max="3671" width="7.7109375" style="2" bestFit="1" customWidth="1"/>
    <col min="3672" max="3672" width="8" style="2" customWidth="1"/>
    <col min="3673" max="3673" width="8.5703125" style="2" customWidth="1"/>
    <col min="3674" max="3674" width="9.7109375" style="2" customWidth="1"/>
    <col min="3675" max="3675" width="9.42578125" style="2" customWidth="1"/>
    <col min="3676" max="3676" width="9.140625" style="2" customWidth="1"/>
    <col min="3677" max="3677" width="11.42578125" style="2" customWidth="1"/>
    <col min="3678" max="3678" width="12.5703125" style="2" customWidth="1"/>
    <col min="3679" max="3679" width="10.28515625" style="2" customWidth="1"/>
    <col min="3680" max="3680" width="7.7109375" style="2" bestFit="1" customWidth="1"/>
    <col min="3681" max="3681" width="8.28515625" style="2" bestFit="1" customWidth="1"/>
    <col min="3682" max="3683" width="7.7109375" style="2" bestFit="1" customWidth="1"/>
    <col min="3684" max="3684" width="6.5703125" style="2" bestFit="1" customWidth="1"/>
    <col min="3685" max="3685" width="8.28515625" style="2" bestFit="1" customWidth="1"/>
    <col min="3686" max="3686" width="6.5703125" style="2" bestFit="1" customWidth="1"/>
    <col min="3687" max="3687" width="7.140625" style="2" bestFit="1" customWidth="1"/>
    <col min="3688" max="3688" width="7.7109375" style="2" bestFit="1" customWidth="1"/>
    <col min="3689" max="3689" width="8.28515625" style="2" bestFit="1" customWidth="1"/>
    <col min="3690" max="3692" width="7.7109375" style="2" bestFit="1" customWidth="1"/>
    <col min="3693" max="3693" width="8.28515625" style="2" bestFit="1" customWidth="1"/>
    <col min="3694" max="3695" width="7.7109375" style="2" bestFit="1" customWidth="1"/>
    <col min="3696" max="3697" width="9.85546875" style="2" customWidth="1"/>
    <col min="3698" max="3698" width="8.5703125" style="2" customWidth="1"/>
    <col min="3699" max="3700" width="8.85546875" style="2" customWidth="1"/>
    <col min="3701" max="3701" width="9.7109375" style="2" customWidth="1"/>
    <col min="3702" max="3702" width="8.5703125" style="2" customWidth="1"/>
    <col min="3703" max="3703" width="7.7109375" style="2" bestFit="1" customWidth="1"/>
    <col min="3704" max="3704" width="7.5703125" style="2" customWidth="1"/>
    <col min="3705" max="3705" width="8.28515625" style="2" bestFit="1" customWidth="1"/>
    <col min="3706" max="3706" width="8.28515625" style="2" customWidth="1"/>
    <col min="3707" max="3707" width="7.140625" style="2" bestFit="1" customWidth="1"/>
    <col min="3708" max="3708" width="9" style="2" customWidth="1"/>
    <col min="3709" max="3709" width="9.5703125" style="2" customWidth="1"/>
    <col min="3710" max="3710" width="9.7109375" style="2" customWidth="1"/>
    <col min="3711" max="3711" width="10.85546875" style="2" customWidth="1"/>
    <col min="3712" max="3712" width="10.42578125" style="2" customWidth="1"/>
    <col min="3713" max="3714" width="11.28515625" style="2" customWidth="1"/>
    <col min="3715" max="3715" width="11" style="2" customWidth="1"/>
    <col min="3716" max="3716" width="6.7109375" style="2" customWidth="1"/>
    <col min="3717" max="3719" width="9.85546875" style="2"/>
    <col min="3720" max="3720" width="13.140625" style="2" customWidth="1"/>
    <col min="3721" max="3797" width="9.85546875" style="2"/>
    <col min="3798" max="3798" width="27.5703125" style="2" customWidth="1"/>
    <col min="3799" max="3799" width="5.28515625" style="2" customWidth="1"/>
    <col min="3800" max="3801" width="9" style="2" customWidth="1"/>
    <col min="3802" max="3802" width="9.5703125" style="2" customWidth="1"/>
    <col min="3803" max="3803" width="9.7109375" style="2" customWidth="1"/>
    <col min="3804" max="3804" width="7.5703125" style="2" customWidth="1"/>
    <col min="3805" max="3805" width="10.42578125" style="2" customWidth="1"/>
    <col min="3806" max="3806" width="9.140625" style="2" bestFit="1" customWidth="1"/>
    <col min="3807" max="3807" width="7.28515625" style="2" customWidth="1"/>
    <col min="3808" max="3809" width="9.28515625" style="2" customWidth="1"/>
    <col min="3810" max="3810" width="9.5703125" style="2" customWidth="1"/>
    <col min="3811" max="3812" width="9" style="2" customWidth="1"/>
    <col min="3813" max="3813" width="8" style="2" customWidth="1"/>
    <col min="3814" max="3814" width="8.5703125" style="2" customWidth="1"/>
    <col min="3815" max="3815" width="8.28515625" style="2" customWidth="1"/>
    <col min="3816" max="3816" width="9.5703125" style="2" customWidth="1"/>
    <col min="3817" max="3817" width="8.42578125" style="2" customWidth="1"/>
    <col min="3818" max="3818" width="8.140625" style="2" customWidth="1"/>
    <col min="3819" max="3819" width="7.5703125" style="2" customWidth="1"/>
    <col min="3820" max="3820" width="9.140625" style="2" customWidth="1"/>
    <col min="3821" max="3821" width="9" style="2" customWidth="1"/>
    <col min="3822" max="3822" width="8.5703125" style="2" customWidth="1"/>
    <col min="3823" max="3823" width="7.85546875" style="2" customWidth="1"/>
    <col min="3824" max="3824" width="6.7109375" style="2" customWidth="1"/>
    <col min="3825" max="3825" width="5.7109375" style="2" customWidth="1"/>
    <col min="3826" max="3826" width="6.28515625" style="2" customWidth="1"/>
    <col min="3827" max="3827" width="6.5703125" style="2" customWidth="1"/>
    <col min="3828" max="3828" width="8.7109375" style="2" customWidth="1"/>
    <col min="3829" max="3829" width="9" style="2" customWidth="1"/>
    <col min="3830" max="3830" width="8.28515625" style="2" customWidth="1"/>
    <col min="3831" max="3831" width="8.42578125" style="2" customWidth="1"/>
    <col min="3832" max="3832" width="9.85546875" style="2" customWidth="1"/>
    <col min="3833" max="3833" width="10" style="2" customWidth="1"/>
    <col min="3834" max="3834" width="10.140625" style="2" customWidth="1"/>
    <col min="3835" max="3835" width="10.5703125" style="2" customWidth="1"/>
    <col min="3836" max="3836" width="8.140625" style="2" customWidth="1"/>
    <col min="3837" max="3837" width="7.85546875" style="2" customWidth="1"/>
    <col min="3838" max="3838" width="9" style="2" customWidth="1"/>
    <col min="3839" max="3839" width="10" style="2" customWidth="1"/>
    <col min="3840" max="3840" width="10.28515625" style="2" customWidth="1"/>
    <col min="3841" max="3841" width="10.140625" style="2" customWidth="1"/>
    <col min="3842" max="3842" width="10.5703125" style="2" customWidth="1"/>
    <col min="3843" max="3843" width="10.28515625" style="2" customWidth="1"/>
    <col min="3844" max="3844" width="9.7109375" style="2" customWidth="1"/>
    <col min="3845" max="3845" width="9.140625" style="2" bestFit="1" customWidth="1"/>
    <col min="3846" max="3846" width="9.28515625" style="2" customWidth="1"/>
    <col min="3847" max="3847" width="9" style="2" customWidth="1"/>
    <col min="3848" max="3848" width="8" style="2" customWidth="1"/>
    <col min="3849" max="3849" width="8.28515625" style="2" customWidth="1"/>
    <col min="3850" max="3850" width="7.85546875" style="2" customWidth="1"/>
    <col min="3851" max="3851" width="9" style="2" customWidth="1"/>
    <col min="3852" max="3852" width="8.42578125" style="2" customWidth="1"/>
    <col min="3853" max="3853" width="8.28515625" style="2" bestFit="1" customWidth="1"/>
    <col min="3854" max="3855" width="9" style="2" customWidth="1"/>
    <col min="3856" max="3856" width="7.140625" style="2" customWidth="1"/>
    <col min="3857" max="3857" width="9.140625" style="2" customWidth="1"/>
    <col min="3858" max="3858" width="7.7109375" style="2" customWidth="1"/>
    <col min="3859" max="3859" width="7.5703125" style="2" customWidth="1"/>
    <col min="3860" max="3860" width="10" style="2" customWidth="1"/>
    <col min="3861" max="3862" width="10.140625" style="2" bestFit="1" customWidth="1"/>
    <col min="3863" max="3863" width="12.7109375" style="2" bestFit="1" customWidth="1"/>
    <col min="3864" max="3864" width="9.140625" style="2" customWidth="1"/>
    <col min="3865" max="3865" width="9" style="2" customWidth="1"/>
    <col min="3866" max="3866" width="8.85546875" style="2" customWidth="1"/>
    <col min="3867" max="3867" width="10.42578125" style="2" customWidth="1"/>
    <col min="3868" max="3868" width="8.7109375" style="2" customWidth="1"/>
    <col min="3869" max="3869" width="8.140625" style="2" customWidth="1"/>
    <col min="3870" max="3870" width="7.7109375" style="2" customWidth="1"/>
    <col min="3871" max="3871" width="9.7109375" style="2" customWidth="1"/>
    <col min="3872" max="3872" width="6.5703125" style="2" bestFit="1" customWidth="1"/>
    <col min="3873" max="3874" width="7.5703125" style="2" customWidth="1"/>
    <col min="3875" max="3875" width="7.7109375" style="2" customWidth="1"/>
    <col min="3876" max="3877" width="9.28515625" style="2" bestFit="1" customWidth="1"/>
    <col min="3878" max="3878" width="9.5703125" style="2" customWidth="1"/>
    <col min="3879" max="3879" width="9.140625" style="2" customWidth="1"/>
    <col min="3880" max="3881" width="7.85546875" style="2" customWidth="1"/>
    <col min="3882" max="3882" width="9.42578125" style="2" customWidth="1"/>
    <col min="3883" max="3883" width="10" style="2" customWidth="1"/>
    <col min="3884" max="3884" width="6.42578125" style="2" customWidth="1"/>
    <col min="3885" max="3885" width="9" style="2" customWidth="1"/>
    <col min="3886" max="3886" width="8.85546875" style="2" customWidth="1"/>
    <col min="3887" max="3887" width="7.7109375" style="2" customWidth="1"/>
    <col min="3888" max="3888" width="9.7109375" style="2" customWidth="1"/>
    <col min="3889" max="3889" width="9.42578125" style="2" customWidth="1"/>
    <col min="3890" max="3890" width="9.85546875" style="2" customWidth="1"/>
    <col min="3891" max="3891" width="7.7109375" style="2" customWidth="1"/>
    <col min="3892" max="3892" width="8.5703125" style="2" customWidth="1"/>
    <col min="3893" max="3893" width="9.140625" style="2" customWidth="1"/>
    <col min="3894" max="3894" width="10.140625" style="2" customWidth="1"/>
    <col min="3895" max="3895" width="10.42578125" style="2" customWidth="1"/>
    <col min="3896" max="3897" width="7.85546875" style="2" customWidth="1"/>
    <col min="3898" max="3898" width="8.28515625" style="2" customWidth="1"/>
    <col min="3899" max="3899" width="10.42578125" style="2" customWidth="1"/>
    <col min="3900" max="3901" width="7.85546875" style="2" customWidth="1"/>
    <col min="3902" max="3902" width="8.28515625" style="2" customWidth="1"/>
    <col min="3903" max="3903" width="10.42578125" style="2" customWidth="1"/>
    <col min="3904" max="3904" width="8.5703125" style="2" customWidth="1"/>
    <col min="3905" max="3905" width="8.85546875" style="2" customWidth="1"/>
    <col min="3906" max="3906" width="8.7109375" style="2" customWidth="1"/>
    <col min="3907" max="3907" width="7.140625" style="2" bestFit="1" customWidth="1"/>
    <col min="3908" max="3908" width="7.7109375" style="2" bestFit="1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8.85546875" style="2" customWidth="1"/>
    <col min="3913" max="3913" width="9.42578125" style="2" customWidth="1"/>
    <col min="3914" max="3915" width="7.7109375" style="2" bestFit="1" customWidth="1"/>
    <col min="3916" max="3916" width="8.85546875" style="2" customWidth="1"/>
    <col min="3917" max="3917" width="9.42578125" style="2" customWidth="1"/>
    <col min="3918" max="3919" width="7.7109375" style="2" bestFit="1" customWidth="1"/>
    <col min="3920" max="3920" width="9.140625" style="2" customWidth="1"/>
    <col min="3921" max="3921" width="10" style="2" customWidth="1"/>
    <col min="3922" max="3922" width="9.5703125" style="2" customWidth="1"/>
    <col min="3923" max="3923" width="9.28515625" style="2" bestFit="1" customWidth="1"/>
    <col min="3924" max="3924" width="9.28515625" style="2" customWidth="1"/>
    <col min="3925" max="3925" width="9.28515625" style="2" bestFit="1" customWidth="1"/>
    <col min="3926" max="3926" width="10.28515625" style="2" customWidth="1"/>
    <col min="3927" max="3927" width="7.7109375" style="2" bestFit="1" customWidth="1"/>
    <col min="3928" max="3928" width="8" style="2" customWidth="1"/>
    <col min="3929" max="3929" width="8.5703125" style="2" customWidth="1"/>
    <col min="3930" max="3930" width="9.7109375" style="2" customWidth="1"/>
    <col min="3931" max="3931" width="9.42578125" style="2" customWidth="1"/>
    <col min="3932" max="3932" width="9.140625" style="2" customWidth="1"/>
    <col min="3933" max="3933" width="11.42578125" style="2" customWidth="1"/>
    <col min="3934" max="3934" width="12.5703125" style="2" customWidth="1"/>
    <col min="3935" max="3935" width="10.28515625" style="2" customWidth="1"/>
    <col min="3936" max="3936" width="7.7109375" style="2" bestFit="1" customWidth="1"/>
    <col min="3937" max="3937" width="8.28515625" style="2" bestFit="1" customWidth="1"/>
    <col min="3938" max="3939" width="7.7109375" style="2" bestFit="1" customWidth="1"/>
    <col min="3940" max="3940" width="6.5703125" style="2" bestFit="1" customWidth="1"/>
    <col min="3941" max="3941" width="8.28515625" style="2" bestFit="1" customWidth="1"/>
    <col min="3942" max="3942" width="6.5703125" style="2" bestFit="1" customWidth="1"/>
    <col min="3943" max="3943" width="7.140625" style="2" bestFit="1" customWidth="1"/>
    <col min="3944" max="3944" width="7.7109375" style="2" bestFit="1" customWidth="1"/>
    <col min="3945" max="3945" width="8.28515625" style="2" bestFit="1" customWidth="1"/>
    <col min="3946" max="3948" width="7.7109375" style="2" bestFit="1" customWidth="1"/>
    <col min="3949" max="3949" width="8.28515625" style="2" bestFit="1" customWidth="1"/>
    <col min="3950" max="3951" width="7.7109375" style="2" bestFit="1" customWidth="1"/>
    <col min="3952" max="3953" width="9.85546875" style="2" customWidth="1"/>
    <col min="3954" max="3954" width="8.5703125" style="2" customWidth="1"/>
    <col min="3955" max="3956" width="8.85546875" style="2" customWidth="1"/>
    <col min="3957" max="3957" width="9.7109375" style="2" customWidth="1"/>
    <col min="3958" max="3958" width="8.5703125" style="2" customWidth="1"/>
    <col min="3959" max="3959" width="7.7109375" style="2" bestFit="1" customWidth="1"/>
    <col min="3960" max="3960" width="7.5703125" style="2" customWidth="1"/>
    <col min="3961" max="3961" width="8.28515625" style="2" bestFit="1" customWidth="1"/>
    <col min="3962" max="3962" width="8.28515625" style="2" customWidth="1"/>
    <col min="3963" max="3963" width="7.140625" style="2" bestFit="1" customWidth="1"/>
    <col min="3964" max="3964" width="9" style="2" customWidth="1"/>
    <col min="3965" max="3965" width="9.5703125" style="2" customWidth="1"/>
    <col min="3966" max="3966" width="9.7109375" style="2" customWidth="1"/>
    <col min="3967" max="3967" width="10.85546875" style="2" customWidth="1"/>
    <col min="3968" max="3968" width="10.42578125" style="2" customWidth="1"/>
    <col min="3969" max="3970" width="11.28515625" style="2" customWidth="1"/>
    <col min="3971" max="3971" width="11" style="2" customWidth="1"/>
    <col min="3972" max="3972" width="6.7109375" style="2" customWidth="1"/>
    <col min="3973" max="3975" width="9.85546875" style="2"/>
    <col min="3976" max="3976" width="13.140625" style="2" customWidth="1"/>
    <col min="3977" max="4053" width="9.85546875" style="2"/>
    <col min="4054" max="4054" width="27.5703125" style="2" customWidth="1"/>
    <col min="4055" max="4055" width="5.28515625" style="2" customWidth="1"/>
    <col min="4056" max="4057" width="9" style="2" customWidth="1"/>
    <col min="4058" max="4058" width="9.5703125" style="2" customWidth="1"/>
    <col min="4059" max="4059" width="9.7109375" style="2" customWidth="1"/>
    <col min="4060" max="4060" width="7.5703125" style="2" customWidth="1"/>
    <col min="4061" max="4061" width="10.42578125" style="2" customWidth="1"/>
    <col min="4062" max="4062" width="9.140625" style="2" bestFit="1" customWidth="1"/>
    <col min="4063" max="4063" width="7.28515625" style="2" customWidth="1"/>
    <col min="4064" max="4065" width="9.28515625" style="2" customWidth="1"/>
    <col min="4066" max="4066" width="9.5703125" style="2" customWidth="1"/>
    <col min="4067" max="4068" width="9" style="2" customWidth="1"/>
    <col min="4069" max="4069" width="8" style="2" customWidth="1"/>
    <col min="4070" max="4070" width="8.5703125" style="2" customWidth="1"/>
    <col min="4071" max="4071" width="8.28515625" style="2" customWidth="1"/>
    <col min="4072" max="4072" width="9.5703125" style="2" customWidth="1"/>
    <col min="4073" max="4073" width="8.42578125" style="2" customWidth="1"/>
    <col min="4074" max="4074" width="8.140625" style="2" customWidth="1"/>
    <col min="4075" max="4075" width="7.5703125" style="2" customWidth="1"/>
    <col min="4076" max="4076" width="9.140625" style="2" customWidth="1"/>
    <col min="4077" max="4077" width="9" style="2" customWidth="1"/>
    <col min="4078" max="4078" width="8.5703125" style="2" customWidth="1"/>
    <col min="4079" max="4079" width="7.85546875" style="2" customWidth="1"/>
    <col min="4080" max="4080" width="6.7109375" style="2" customWidth="1"/>
    <col min="4081" max="4081" width="5.7109375" style="2" customWidth="1"/>
    <col min="4082" max="4082" width="6.28515625" style="2" customWidth="1"/>
    <col min="4083" max="4083" width="6.5703125" style="2" customWidth="1"/>
    <col min="4084" max="4084" width="8.7109375" style="2" customWidth="1"/>
    <col min="4085" max="4085" width="9" style="2" customWidth="1"/>
    <col min="4086" max="4086" width="8.28515625" style="2" customWidth="1"/>
    <col min="4087" max="4087" width="8.42578125" style="2" customWidth="1"/>
    <col min="4088" max="4088" width="9.85546875" style="2" customWidth="1"/>
    <col min="4089" max="4089" width="10" style="2" customWidth="1"/>
    <col min="4090" max="4090" width="10.140625" style="2" customWidth="1"/>
    <col min="4091" max="4091" width="10.5703125" style="2" customWidth="1"/>
    <col min="4092" max="4092" width="8.140625" style="2" customWidth="1"/>
    <col min="4093" max="4093" width="7.85546875" style="2" customWidth="1"/>
    <col min="4094" max="4094" width="9" style="2" customWidth="1"/>
    <col min="4095" max="4095" width="10" style="2" customWidth="1"/>
    <col min="4096" max="4096" width="10.28515625" style="2" customWidth="1"/>
    <col min="4097" max="4097" width="10.140625" style="2" customWidth="1"/>
    <col min="4098" max="4098" width="10.5703125" style="2" customWidth="1"/>
    <col min="4099" max="4099" width="10.28515625" style="2" customWidth="1"/>
    <col min="4100" max="4100" width="9.7109375" style="2" customWidth="1"/>
    <col min="4101" max="4101" width="9.140625" style="2" bestFit="1" customWidth="1"/>
    <col min="4102" max="4102" width="9.28515625" style="2" customWidth="1"/>
    <col min="4103" max="4103" width="9" style="2" customWidth="1"/>
    <col min="4104" max="4104" width="8" style="2" customWidth="1"/>
    <col min="4105" max="4105" width="8.28515625" style="2" customWidth="1"/>
    <col min="4106" max="4106" width="7.85546875" style="2" customWidth="1"/>
    <col min="4107" max="4107" width="9" style="2" customWidth="1"/>
    <col min="4108" max="4108" width="8.42578125" style="2" customWidth="1"/>
    <col min="4109" max="4109" width="8.28515625" style="2" bestFit="1" customWidth="1"/>
    <col min="4110" max="4111" width="9" style="2" customWidth="1"/>
    <col min="4112" max="4112" width="7.140625" style="2" customWidth="1"/>
    <col min="4113" max="4113" width="9.140625" style="2" customWidth="1"/>
    <col min="4114" max="4114" width="7.7109375" style="2" customWidth="1"/>
    <col min="4115" max="4115" width="7.5703125" style="2" customWidth="1"/>
    <col min="4116" max="4116" width="10" style="2" customWidth="1"/>
    <col min="4117" max="4118" width="10.140625" style="2" bestFit="1" customWidth="1"/>
    <col min="4119" max="4119" width="12.7109375" style="2" bestFit="1" customWidth="1"/>
    <col min="4120" max="4120" width="9.140625" style="2" customWidth="1"/>
    <col min="4121" max="4121" width="9" style="2" customWidth="1"/>
    <col min="4122" max="4122" width="8.85546875" style="2" customWidth="1"/>
    <col min="4123" max="4123" width="10.42578125" style="2" customWidth="1"/>
    <col min="4124" max="4124" width="8.7109375" style="2" customWidth="1"/>
    <col min="4125" max="4125" width="8.140625" style="2" customWidth="1"/>
    <col min="4126" max="4126" width="7.7109375" style="2" customWidth="1"/>
    <col min="4127" max="4127" width="9.7109375" style="2" customWidth="1"/>
    <col min="4128" max="4128" width="6.5703125" style="2" bestFit="1" customWidth="1"/>
    <col min="4129" max="4130" width="7.5703125" style="2" customWidth="1"/>
    <col min="4131" max="4131" width="7.7109375" style="2" customWidth="1"/>
    <col min="4132" max="4133" width="9.28515625" style="2" bestFit="1" customWidth="1"/>
    <col min="4134" max="4134" width="9.5703125" style="2" customWidth="1"/>
    <col min="4135" max="4135" width="9.140625" style="2" customWidth="1"/>
    <col min="4136" max="4137" width="7.85546875" style="2" customWidth="1"/>
    <col min="4138" max="4138" width="9.42578125" style="2" customWidth="1"/>
    <col min="4139" max="4139" width="10" style="2" customWidth="1"/>
    <col min="4140" max="4140" width="6.42578125" style="2" customWidth="1"/>
    <col min="4141" max="4141" width="9" style="2" customWidth="1"/>
    <col min="4142" max="4142" width="8.85546875" style="2" customWidth="1"/>
    <col min="4143" max="4143" width="7.7109375" style="2" customWidth="1"/>
    <col min="4144" max="4144" width="9.7109375" style="2" customWidth="1"/>
    <col min="4145" max="4145" width="9.42578125" style="2" customWidth="1"/>
    <col min="4146" max="4146" width="9.85546875" style="2" customWidth="1"/>
    <col min="4147" max="4147" width="7.7109375" style="2" customWidth="1"/>
    <col min="4148" max="4148" width="8.5703125" style="2" customWidth="1"/>
    <col min="4149" max="4149" width="9.140625" style="2" customWidth="1"/>
    <col min="4150" max="4150" width="10.140625" style="2" customWidth="1"/>
    <col min="4151" max="4151" width="10.42578125" style="2" customWidth="1"/>
    <col min="4152" max="4153" width="7.85546875" style="2" customWidth="1"/>
    <col min="4154" max="4154" width="8.28515625" style="2" customWidth="1"/>
    <col min="4155" max="4155" width="10.42578125" style="2" customWidth="1"/>
    <col min="4156" max="4157" width="7.85546875" style="2" customWidth="1"/>
    <col min="4158" max="4158" width="8.28515625" style="2" customWidth="1"/>
    <col min="4159" max="4159" width="10.42578125" style="2" customWidth="1"/>
    <col min="4160" max="4160" width="8.5703125" style="2" customWidth="1"/>
    <col min="4161" max="4161" width="8.85546875" style="2" customWidth="1"/>
    <col min="4162" max="4162" width="8.7109375" style="2" customWidth="1"/>
    <col min="4163" max="4163" width="7.140625" style="2" bestFit="1" customWidth="1"/>
    <col min="4164" max="4164" width="7.7109375" style="2" bestFit="1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8.85546875" style="2" customWidth="1"/>
    <col min="4169" max="4169" width="9.42578125" style="2" customWidth="1"/>
    <col min="4170" max="4171" width="7.7109375" style="2" bestFit="1" customWidth="1"/>
    <col min="4172" max="4172" width="8.85546875" style="2" customWidth="1"/>
    <col min="4173" max="4173" width="9.42578125" style="2" customWidth="1"/>
    <col min="4174" max="4175" width="7.7109375" style="2" bestFit="1" customWidth="1"/>
    <col min="4176" max="4176" width="9.140625" style="2" customWidth="1"/>
    <col min="4177" max="4177" width="10" style="2" customWidth="1"/>
    <col min="4178" max="4178" width="9.5703125" style="2" customWidth="1"/>
    <col min="4179" max="4179" width="9.28515625" style="2" bestFit="1" customWidth="1"/>
    <col min="4180" max="4180" width="9.28515625" style="2" customWidth="1"/>
    <col min="4181" max="4181" width="9.28515625" style="2" bestFit="1" customWidth="1"/>
    <col min="4182" max="4182" width="10.28515625" style="2" customWidth="1"/>
    <col min="4183" max="4183" width="7.7109375" style="2" bestFit="1" customWidth="1"/>
    <col min="4184" max="4184" width="8" style="2" customWidth="1"/>
    <col min="4185" max="4185" width="8.5703125" style="2" customWidth="1"/>
    <col min="4186" max="4186" width="9.7109375" style="2" customWidth="1"/>
    <col min="4187" max="4187" width="9.42578125" style="2" customWidth="1"/>
    <col min="4188" max="4188" width="9.140625" style="2" customWidth="1"/>
    <col min="4189" max="4189" width="11.42578125" style="2" customWidth="1"/>
    <col min="4190" max="4190" width="12.5703125" style="2" customWidth="1"/>
    <col min="4191" max="4191" width="10.28515625" style="2" customWidth="1"/>
    <col min="4192" max="4192" width="7.7109375" style="2" bestFit="1" customWidth="1"/>
    <col min="4193" max="4193" width="8.28515625" style="2" bestFit="1" customWidth="1"/>
    <col min="4194" max="4195" width="7.7109375" style="2" bestFit="1" customWidth="1"/>
    <col min="4196" max="4196" width="6.5703125" style="2" bestFit="1" customWidth="1"/>
    <col min="4197" max="4197" width="8.28515625" style="2" bestFit="1" customWidth="1"/>
    <col min="4198" max="4198" width="6.5703125" style="2" bestFit="1" customWidth="1"/>
    <col min="4199" max="4199" width="7.140625" style="2" bestFit="1" customWidth="1"/>
    <col min="4200" max="4200" width="7.7109375" style="2" bestFit="1" customWidth="1"/>
    <col min="4201" max="4201" width="8.28515625" style="2" bestFit="1" customWidth="1"/>
    <col min="4202" max="4204" width="7.7109375" style="2" bestFit="1" customWidth="1"/>
    <col min="4205" max="4205" width="8.28515625" style="2" bestFit="1" customWidth="1"/>
    <col min="4206" max="4207" width="7.7109375" style="2" bestFit="1" customWidth="1"/>
    <col min="4208" max="4209" width="9.85546875" style="2" customWidth="1"/>
    <col min="4210" max="4210" width="8.5703125" style="2" customWidth="1"/>
    <col min="4211" max="4212" width="8.85546875" style="2" customWidth="1"/>
    <col min="4213" max="4213" width="9.7109375" style="2" customWidth="1"/>
    <col min="4214" max="4214" width="8.5703125" style="2" customWidth="1"/>
    <col min="4215" max="4215" width="7.7109375" style="2" bestFit="1" customWidth="1"/>
    <col min="4216" max="4216" width="7.5703125" style="2" customWidth="1"/>
    <col min="4217" max="4217" width="8.28515625" style="2" bestFit="1" customWidth="1"/>
    <col min="4218" max="4218" width="8.28515625" style="2" customWidth="1"/>
    <col min="4219" max="4219" width="7.140625" style="2" bestFit="1" customWidth="1"/>
    <col min="4220" max="4220" width="9" style="2" customWidth="1"/>
    <col min="4221" max="4221" width="9.5703125" style="2" customWidth="1"/>
    <col min="4222" max="4222" width="9.7109375" style="2" customWidth="1"/>
    <col min="4223" max="4223" width="10.85546875" style="2" customWidth="1"/>
    <col min="4224" max="4224" width="10.42578125" style="2" customWidth="1"/>
    <col min="4225" max="4226" width="11.28515625" style="2" customWidth="1"/>
    <col min="4227" max="4227" width="11" style="2" customWidth="1"/>
    <col min="4228" max="4228" width="6.7109375" style="2" customWidth="1"/>
    <col min="4229" max="4231" width="9.85546875" style="2"/>
    <col min="4232" max="4232" width="13.140625" style="2" customWidth="1"/>
    <col min="4233" max="4309" width="9.85546875" style="2"/>
    <col min="4310" max="4310" width="27.5703125" style="2" customWidth="1"/>
    <col min="4311" max="4311" width="5.28515625" style="2" customWidth="1"/>
    <col min="4312" max="4313" width="9" style="2" customWidth="1"/>
    <col min="4314" max="4314" width="9.5703125" style="2" customWidth="1"/>
    <col min="4315" max="4315" width="9.7109375" style="2" customWidth="1"/>
    <col min="4316" max="4316" width="7.5703125" style="2" customWidth="1"/>
    <col min="4317" max="4317" width="10.42578125" style="2" customWidth="1"/>
    <col min="4318" max="4318" width="9.140625" style="2" bestFit="1" customWidth="1"/>
    <col min="4319" max="4319" width="7.28515625" style="2" customWidth="1"/>
    <col min="4320" max="4321" width="9.28515625" style="2" customWidth="1"/>
    <col min="4322" max="4322" width="9.5703125" style="2" customWidth="1"/>
    <col min="4323" max="4324" width="9" style="2" customWidth="1"/>
    <col min="4325" max="4325" width="8" style="2" customWidth="1"/>
    <col min="4326" max="4326" width="8.5703125" style="2" customWidth="1"/>
    <col min="4327" max="4327" width="8.28515625" style="2" customWidth="1"/>
    <col min="4328" max="4328" width="9.5703125" style="2" customWidth="1"/>
    <col min="4329" max="4329" width="8.42578125" style="2" customWidth="1"/>
    <col min="4330" max="4330" width="8.140625" style="2" customWidth="1"/>
    <col min="4331" max="4331" width="7.5703125" style="2" customWidth="1"/>
    <col min="4332" max="4332" width="9.140625" style="2" customWidth="1"/>
    <col min="4333" max="4333" width="9" style="2" customWidth="1"/>
    <col min="4334" max="4334" width="8.5703125" style="2" customWidth="1"/>
    <col min="4335" max="4335" width="7.85546875" style="2" customWidth="1"/>
    <col min="4336" max="4336" width="6.7109375" style="2" customWidth="1"/>
    <col min="4337" max="4337" width="5.7109375" style="2" customWidth="1"/>
    <col min="4338" max="4338" width="6.28515625" style="2" customWidth="1"/>
    <col min="4339" max="4339" width="6.5703125" style="2" customWidth="1"/>
    <col min="4340" max="4340" width="8.7109375" style="2" customWidth="1"/>
    <col min="4341" max="4341" width="9" style="2" customWidth="1"/>
    <col min="4342" max="4342" width="8.28515625" style="2" customWidth="1"/>
    <col min="4343" max="4343" width="8.42578125" style="2" customWidth="1"/>
    <col min="4344" max="4344" width="9.85546875" style="2" customWidth="1"/>
    <col min="4345" max="4345" width="10" style="2" customWidth="1"/>
    <col min="4346" max="4346" width="10.140625" style="2" customWidth="1"/>
    <col min="4347" max="4347" width="10.5703125" style="2" customWidth="1"/>
    <col min="4348" max="4348" width="8.140625" style="2" customWidth="1"/>
    <col min="4349" max="4349" width="7.85546875" style="2" customWidth="1"/>
    <col min="4350" max="4350" width="9" style="2" customWidth="1"/>
    <col min="4351" max="4351" width="10" style="2" customWidth="1"/>
    <col min="4352" max="4352" width="10.28515625" style="2" customWidth="1"/>
    <col min="4353" max="4353" width="10.140625" style="2" customWidth="1"/>
    <col min="4354" max="4354" width="10.5703125" style="2" customWidth="1"/>
    <col min="4355" max="4355" width="10.28515625" style="2" customWidth="1"/>
    <col min="4356" max="4356" width="9.7109375" style="2" customWidth="1"/>
    <col min="4357" max="4357" width="9.140625" style="2" bestFit="1" customWidth="1"/>
    <col min="4358" max="4358" width="9.28515625" style="2" customWidth="1"/>
    <col min="4359" max="4359" width="9" style="2" customWidth="1"/>
    <col min="4360" max="4360" width="8" style="2" customWidth="1"/>
    <col min="4361" max="4361" width="8.28515625" style="2" customWidth="1"/>
    <col min="4362" max="4362" width="7.85546875" style="2" customWidth="1"/>
    <col min="4363" max="4363" width="9" style="2" customWidth="1"/>
    <col min="4364" max="4364" width="8.42578125" style="2" customWidth="1"/>
    <col min="4365" max="4365" width="8.28515625" style="2" bestFit="1" customWidth="1"/>
    <col min="4366" max="4367" width="9" style="2" customWidth="1"/>
    <col min="4368" max="4368" width="7.140625" style="2" customWidth="1"/>
    <col min="4369" max="4369" width="9.140625" style="2" customWidth="1"/>
    <col min="4370" max="4370" width="7.7109375" style="2" customWidth="1"/>
    <col min="4371" max="4371" width="7.5703125" style="2" customWidth="1"/>
    <col min="4372" max="4372" width="10" style="2" customWidth="1"/>
    <col min="4373" max="4374" width="10.140625" style="2" bestFit="1" customWidth="1"/>
    <col min="4375" max="4375" width="12.7109375" style="2" bestFit="1" customWidth="1"/>
    <col min="4376" max="4376" width="9.140625" style="2" customWidth="1"/>
    <col min="4377" max="4377" width="9" style="2" customWidth="1"/>
    <col min="4378" max="4378" width="8.85546875" style="2" customWidth="1"/>
    <col min="4379" max="4379" width="10.42578125" style="2" customWidth="1"/>
    <col min="4380" max="4380" width="8.7109375" style="2" customWidth="1"/>
    <col min="4381" max="4381" width="8.140625" style="2" customWidth="1"/>
    <col min="4382" max="4382" width="7.7109375" style="2" customWidth="1"/>
    <col min="4383" max="4383" width="9.7109375" style="2" customWidth="1"/>
    <col min="4384" max="4384" width="6.5703125" style="2" bestFit="1" customWidth="1"/>
    <col min="4385" max="4386" width="7.5703125" style="2" customWidth="1"/>
    <col min="4387" max="4387" width="7.7109375" style="2" customWidth="1"/>
    <col min="4388" max="4389" width="9.28515625" style="2" bestFit="1" customWidth="1"/>
    <col min="4390" max="4390" width="9.5703125" style="2" customWidth="1"/>
    <col min="4391" max="4391" width="9.140625" style="2" customWidth="1"/>
    <col min="4392" max="4393" width="7.85546875" style="2" customWidth="1"/>
    <col min="4394" max="4394" width="9.42578125" style="2" customWidth="1"/>
    <col min="4395" max="4395" width="10" style="2" customWidth="1"/>
    <col min="4396" max="4396" width="6.42578125" style="2" customWidth="1"/>
    <col min="4397" max="4397" width="9" style="2" customWidth="1"/>
    <col min="4398" max="4398" width="8.85546875" style="2" customWidth="1"/>
    <col min="4399" max="4399" width="7.7109375" style="2" customWidth="1"/>
    <col min="4400" max="4400" width="9.7109375" style="2" customWidth="1"/>
    <col min="4401" max="4401" width="9.42578125" style="2" customWidth="1"/>
    <col min="4402" max="4402" width="9.85546875" style="2" customWidth="1"/>
    <col min="4403" max="4403" width="7.7109375" style="2" customWidth="1"/>
    <col min="4404" max="4404" width="8.5703125" style="2" customWidth="1"/>
    <col min="4405" max="4405" width="9.140625" style="2" customWidth="1"/>
    <col min="4406" max="4406" width="10.140625" style="2" customWidth="1"/>
    <col min="4407" max="4407" width="10.42578125" style="2" customWidth="1"/>
    <col min="4408" max="4409" width="7.85546875" style="2" customWidth="1"/>
    <col min="4410" max="4410" width="8.28515625" style="2" customWidth="1"/>
    <col min="4411" max="4411" width="10.42578125" style="2" customWidth="1"/>
    <col min="4412" max="4413" width="7.85546875" style="2" customWidth="1"/>
    <col min="4414" max="4414" width="8.28515625" style="2" customWidth="1"/>
    <col min="4415" max="4415" width="10.42578125" style="2" customWidth="1"/>
    <col min="4416" max="4416" width="8.5703125" style="2" customWidth="1"/>
    <col min="4417" max="4417" width="8.85546875" style="2" customWidth="1"/>
    <col min="4418" max="4418" width="8.7109375" style="2" customWidth="1"/>
    <col min="4419" max="4419" width="7.140625" style="2" bestFit="1" customWidth="1"/>
    <col min="4420" max="4420" width="7.7109375" style="2" bestFit="1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8.85546875" style="2" customWidth="1"/>
    <col min="4425" max="4425" width="9.42578125" style="2" customWidth="1"/>
    <col min="4426" max="4427" width="7.7109375" style="2" bestFit="1" customWidth="1"/>
    <col min="4428" max="4428" width="8.85546875" style="2" customWidth="1"/>
    <col min="4429" max="4429" width="9.42578125" style="2" customWidth="1"/>
    <col min="4430" max="4431" width="7.7109375" style="2" bestFit="1" customWidth="1"/>
    <col min="4432" max="4432" width="9.140625" style="2" customWidth="1"/>
    <col min="4433" max="4433" width="10" style="2" customWidth="1"/>
    <col min="4434" max="4434" width="9.5703125" style="2" customWidth="1"/>
    <col min="4435" max="4435" width="9.28515625" style="2" bestFit="1" customWidth="1"/>
    <col min="4436" max="4436" width="9.28515625" style="2" customWidth="1"/>
    <col min="4437" max="4437" width="9.28515625" style="2" bestFit="1" customWidth="1"/>
    <col min="4438" max="4438" width="10.28515625" style="2" customWidth="1"/>
    <col min="4439" max="4439" width="7.7109375" style="2" bestFit="1" customWidth="1"/>
    <col min="4440" max="4440" width="8" style="2" customWidth="1"/>
    <col min="4441" max="4441" width="8.5703125" style="2" customWidth="1"/>
    <col min="4442" max="4442" width="9.7109375" style="2" customWidth="1"/>
    <col min="4443" max="4443" width="9.42578125" style="2" customWidth="1"/>
    <col min="4444" max="4444" width="9.140625" style="2" customWidth="1"/>
    <col min="4445" max="4445" width="11.42578125" style="2" customWidth="1"/>
    <col min="4446" max="4446" width="12.5703125" style="2" customWidth="1"/>
    <col min="4447" max="4447" width="10.28515625" style="2" customWidth="1"/>
    <col min="4448" max="4448" width="7.7109375" style="2" bestFit="1" customWidth="1"/>
    <col min="4449" max="4449" width="8.28515625" style="2" bestFit="1" customWidth="1"/>
    <col min="4450" max="4451" width="7.7109375" style="2" bestFit="1" customWidth="1"/>
    <col min="4452" max="4452" width="6.5703125" style="2" bestFit="1" customWidth="1"/>
    <col min="4453" max="4453" width="8.28515625" style="2" bestFit="1" customWidth="1"/>
    <col min="4454" max="4454" width="6.5703125" style="2" bestFit="1" customWidth="1"/>
    <col min="4455" max="4455" width="7.140625" style="2" bestFit="1" customWidth="1"/>
    <col min="4456" max="4456" width="7.7109375" style="2" bestFit="1" customWidth="1"/>
    <col min="4457" max="4457" width="8.28515625" style="2" bestFit="1" customWidth="1"/>
    <col min="4458" max="4460" width="7.7109375" style="2" bestFit="1" customWidth="1"/>
    <col min="4461" max="4461" width="8.28515625" style="2" bestFit="1" customWidth="1"/>
    <col min="4462" max="4463" width="7.7109375" style="2" bestFit="1" customWidth="1"/>
    <col min="4464" max="4465" width="9.85546875" style="2" customWidth="1"/>
    <col min="4466" max="4466" width="8.5703125" style="2" customWidth="1"/>
    <col min="4467" max="4468" width="8.85546875" style="2" customWidth="1"/>
    <col min="4469" max="4469" width="9.7109375" style="2" customWidth="1"/>
    <col min="4470" max="4470" width="8.5703125" style="2" customWidth="1"/>
    <col min="4471" max="4471" width="7.7109375" style="2" bestFit="1" customWidth="1"/>
    <col min="4472" max="4472" width="7.5703125" style="2" customWidth="1"/>
    <col min="4473" max="4473" width="8.28515625" style="2" bestFit="1" customWidth="1"/>
    <col min="4474" max="4474" width="8.28515625" style="2" customWidth="1"/>
    <col min="4475" max="4475" width="7.140625" style="2" bestFit="1" customWidth="1"/>
    <col min="4476" max="4476" width="9" style="2" customWidth="1"/>
    <col min="4477" max="4477" width="9.5703125" style="2" customWidth="1"/>
    <col min="4478" max="4478" width="9.7109375" style="2" customWidth="1"/>
    <col min="4479" max="4479" width="10.85546875" style="2" customWidth="1"/>
    <col min="4480" max="4480" width="10.42578125" style="2" customWidth="1"/>
    <col min="4481" max="4482" width="11.28515625" style="2" customWidth="1"/>
    <col min="4483" max="4483" width="11" style="2" customWidth="1"/>
    <col min="4484" max="4484" width="6.7109375" style="2" customWidth="1"/>
    <col min="4485" max="4487" width="9.85546875" style="2"/>
    <col min="4488" max="4488" width="13.140625" style="2" customWidth="1"/>
    <col min="4489" max="4565" width="9.85546875" style="2"/>
    <col min="4566" max="4566" width="27.5703125" style="2" customWidth="1"/>
    <col min="4567" max="4567" width="5.28515625" style="2" customWidth="1"/>
    <col min="4568" max="4569" width="9" style="2" customWidth="1"/>
    <col min="4570" max="4570" width="9.5703125" style="2" customWidth="1"/>
    <col min="4571" max="4571" width="9.7109375" style="2" customWidth="1"/>
    <col min="4572" max="4572" width="7.5703125" style="2" customWidth="1"/>
    <col min="4573" max="4573" width="10.42578125" style="2" customWidth="1"/>
    <col min="4574" max="4574" width="9.140625" style="2" bestFit="1" customWidth="1"/>
    <col min="4575" max="4575" width="7.28515625" style="2" customWidth="1"/>
    <col min="4576" max="4577" width="9.28515625" style="2" customWidth="1"/>
    <col min="4578" max="4578" width="9.5703125" style="2" customWidth="1"/>
    <col min="4579" max="4580" width="9" style="2" customWidth="1"/>
    <col min="4581" max="4581" width="8" style="2" customWidth="1"/>
    <col min="4582" max="4582" width="8.5703125" style="2" customWidth="1"/>
    <col min="4583" max="4583" width="8.28515625" style="2" customWidth="1"/>
    <col min="4584" max="4584" width="9.5703125" style="2" customWidth="1"/>
    <col min="4585" max="4585" width="8.42578125" style="2" customWidth="1"/>
    <col min="4586" max="4586" width="8.140625" style="2" customWidth="1"/>
    <col min="4587" max="4587" width="7.5703125" style="2" customWidth="1"/>
    <col min="4588" max="4588" width="9.140625" style="2" customWidth="1"/>
    <col min="4589" max="4589" width="9" style="2" customWidth="1"/>
    <col min="4590" max="4590" width="8.5703125" style="2" customWidth="1"/>
    <col min="4591" max="4591" width="7.85546875" style="2" customWidth="1"/>
    <col min="4592" max="4592" width="6.7109375" style="2" customWidth="1"/>
    <col min="4593" max="4593" width="5.7109375" style="2" customWidth="1"/>
    <col min="4594" max="4594" width="6.28515625" style="2" customWidth="1"/>
    <col min="4595" max="4595" width="6.5703125" style="2" customWidth="1"/>
    <col min="4596" max="4596" width="8.7109375" style="2" customWidth="1"/>
    <col min="4597" max="4597" width="9" style="2" customWidth="1"/>
    <col min="4598" max="4598" width="8.28515625" style="2" customWidth="1"/>
    <col min="4599" max="4599" width="8.42578125" style="2" customWidth="1"/>
    <col min="4600" max="4600" width="9.85546875" style="2" customWidth="1"/>
    <col min="4601" max="4601" width="10" style="2" customWidth="1"/>
    <col min="4602" max="4602" width="10.140625" style="2" customWidth="1"/>
    <col min="4603" max="4603" width="10.5703125" style="2" customWidth="1"/>
    <col min="4604" max="4604" width="8.140625" style="2" customWidth="1"/>
    <col min="4605" max="4605" width="7.85546875" style="2" customWidth="1"/>
    <col min="4606" max="4606" width="9" style="2" customWidth="1"/>
    <col min="4607" max="4607" width="10" style="2" customWidth="1"/>
    <col min="4608" max="4608" width="10.28515625" style="2" customWidth="1"/>
    <col min="4609" max="4609" width="10.140625" style="2" customWidth="1"/>
    <col min="4610" max="4610" width="10.5703125" style="2" customWidth="1"/>
    <col min="4611" max="4611" width="10.28515625" style="2" customWidth="1"/>
    <col min="4612" max="4612" width="9.7109375" style="2" customWidth="1"/>
    <col min="4613" max="4613" width="9.140625" style="2" bestFit="1" customWidth="1"/>
    <col min="4614" max="4614" width="9.28515625" style="2" customWidth="1"/>
    <col min="4615" max="4615" width="9" style="2" customWidth="1"/>
    <col min="4616" max="4616" width="8" style="2" customWidth="1"/>
    <col min="4617" max="4617" width="8.28515625" style="2" customWidth="1"/>
    <col min="4618" max="4618" width="7.85546875" style="2" customWidth="1"/>
    <col min="4619" max="4619" width="9" style="2" customWidth="1"/>
    <col min="4620" max="4620" width="8.42578125" style="2" customWidth="1"/>
    <col min="4621" max="4621" width="8.28515625" style="2" bestFit="1" customWidth="1"/>
    <col min="4622" max="4623" width="9" style="2" customWidth="1"/>
    <col min="4624" max="4624" width="7.140625" style="2" customWidth="1"/>
    <col min="4625" max="4625" width="9.140625" style="2" customWidth="1"/>
    <col min="4626" max="4626" width="7.7109375" style="2" customWidth="1"/>
    <col min="4627" max="4627" width="7.5703125" style="2" customWidth="1"/>
    <col min="4628" max="4628" width="10" style="2" customWidth="1"/>
    <col min="4629" max="4630" width="10.140625" style="2" bestFit="1" customWidth="1"/>
    <col min="4631" max="4631" width="12.7109375" style="2" bestFit="1" customWidth="1"/>
    <col min="4632" max="4632" width="9.140625" style="2" customWidth="1"/>
    <col min="4633" max="4633" width="9" style="2" customWidth="1"/>
    <col min="4634" max="4634" width="8.85546875" style="2" customWidth="1"/>
    <col min="4635" max="4635" width="10.42578125" style="2" customWidth="1"/>
    <col min="4636" max="4636" width="8.7109375" style="2" customWidth="1"/>
    <col min="4637" max="4637" width="8.140625" style="2" customWidth="1"/>
    <col min="4638" max="4638" width="7.7109375" style="2" customWidth="1"/>
    <col min="4639" max="4639" width="9.7109375" style="2" customWidth="1"/>
    <col min="4640" max="4640" width="6.5703125" style="2" bestFit="1" customWidth="1"/>
    <col min="4641" max="4642" width="7.5703125" style="2" customWidth="1"/>
    <col min="4643" max="4643" width="7.7109375" style="2" customWidth="1"/>
    <col min="4644" max="4645" width="9.28515625" style="2" bestFit="1" customWidth="1"/>
    <col min="4646" max="4646" width="9.5703125" style="2" customWidth="1"/>
    <col min="4647" max="4647" width="9.140625" style="2" customWidth="1"/>
    <col min="4648" max="4649" width="7.85546875" style="2" customWidth="1"/>
    <col min="4650" max="4650" width="9.42578125" style="2" customWidth="1"/>
    <col min="4651" max="4651" width="10" style="2" customWidth="1"/>
    <col min="4652" max="4652" width="6.42578125" style="2" customWidth="1"/>
    <col min="4653" max="4653" width="9" style="2" customWidth="1"/>
    <col min="4654" max="4654" width="8.85546875" style="2" customWidth="1"/>
    <col min="4655" max="4655" width="7.7109375" style="2" customWidth="1"/>
    <col min="4656" max="4656" width="9.7109375" style="2" customWidth="1"/>
    <col min="4657" max="4657" width="9.42578125" style="2" customWidth="1"/>
    <col min="4658" max="4658" width="9.85546875" style="2" customWidth="1"/>
    <col min="4659" max="4659" width="7.7109375" style="2" customWidth="1"/>
    <col min="4660" max="4660" width="8.5703125" style="2" customWidth="1"/>
    <col min="4661" max="4661" width="9.140625" style="2" customWidth="1"/>
    <col min="4662" max="4662" width="10.140625" style="2" customWidth="1"/>
    <col min="4663" max="4663" width="10.42578125" style="2" customWidth="1"/>
    <col min="4664" max="4665" width="7.85546875" style="2" customWidth="1"/>
    <col min="4666" max="4666" width="8.28515625" style="2" customWidth="1"/>
    <col min="4667" max="4667" width="10.42578125" style="2" customWidth="1"/>
    <col min="4668" max="4669" width="7.85546875" style="2" customWidth="1"/>
    <col min="4670" max="4670" width="8.28515625" style="2" customWidth="1"/>
    <col min="4671" max="4671" width="10.42578125" style="2" customWidth="1"/>
    <col min="4672" max="4672" width="8.5703125" style="2" customWidth="1"/>
    <col min="4673" max="4673" width="8.85546875" style="2" customWidth="1"/>
    <col min="4674" max="4674" width="8.7109375" style="2" customWidth="1"/>
    <col min="4675" max="4675" width="7.140625" style="2" bestFit="1" customWidth="1"/>
    <col min="4676" max="4676" width="7.7109375" style="2" bestFit="1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8.85546875" style="2" customWidth="1"/>
    <col min="4681" max="4681" width="9.42578125" style="2" customWidth="1"/>
    <col min="4682" max="4683" width="7.7109375" style="2" bestFit="1" customWidth="1"/>
    <col min="4684" max="4684" width="8.85546875" style="2" customWidth="1"/>
    <col min="4685" max="4685" width="9.42578125" style="2" customWidth="1"/>
    <col min="4686" max="4687" width="7.7109375" style="2" bestFit="1" customWidth="1"/>
    <col min="4688" max="4688" width="9.140625" style="2" customWidth="1"/>
    <col min="4689" max="4689" width="10" style="2" customWidth="1"/>
    <col min="4690" max="4690" width="9.5703125" style="2" customWidth="1"/>
    <col min="4691" max="4691" width="9.28515625" style="2" bestFit="1" customWidth="1"/>
    <col min="4692" max="4692" width="9.28515625" style="2" customWidth="1"/>
    <col min="4693" max="4693" width="9.28515625" style="2" bestFit="1" customWidth="1"/>
    <col min="4694" max="4694" width="10.28515625" style="2" customWidth="1"/>
    <col min="4695" max="4695" width="7.7109375" style="2" bestFit="1" customWidth="1"/>
    <col min="4696" max="4696" width="8" style="2" customWidth="1"/>
    <col min="4697" max="4697" width="8.5703125" style="2" customWidth="1"/>
    <col min="4698" max="4698" width="9.7109375" style="2" customWidth="1"/>
    <col min="4699" max="4699" width="9.42578125" style="2" customWidth="1"/>
    <col min="4700" max="4700" width="9.140625" style="2" customWidth="1"/>
    <col min="4701" max="4701" width="11.42578125" style="2" customWidth="1"/>
    <col min="4702" max="4702" width="12.5703125" style="2" customWidth="1"/>
    <col min="4703" max="4703" width="10.28515625" style="2" customWidth="1"/>
    <col min="4704" max="4704" width="7.7109375" style="2" bestFit="1" customWidth="1"/>
    <col min="4705" max="4705" width="8.28515625" style="2" bestFit="1" customWidth="1"/>
    <col min="4706" max="4707" width="7.7109375" style="2" bestFit="1" customWidth="1"/>
    <col min="4708" max="4708" width="6.5703125" style="2" bestFit="1" customWidth="1"/>
    <col min="4709" max="4709" width="8.28515625" style="2" bestFit="1" customWidth="1"/>
    <col min="4710" max="4710" width="6.5703125" style="2" bestFit="1" customWidth="1"/>
    <col min="4711" max="4711" width="7.140625" style="2" bestFit="1" customWidth="1"/>
    <col min="4712" max="4712" width="7.7109375" style="2" bestFit="1" customWidth="1"/>
    <col min="4713" max="4713" width="8.28515625" style="2" bestFit="1" customWidth="1"/>
    <col min="4714" max="4716" width="7.7109375" style="2" bestFit="1" customWidth="1"/>
    <col min="4717" max="4717" width="8.28515625" style="2" bestFit="1" customWidth="1"/>
    <col min="4718" max="4719" width="7.7109375" style="2" bestFit="1" customWidth="1"/>
    <col min="4720" max="4721" width="9.85546875" style="2" customWidth="1"/>
    <col min="4722" max="4722" width="8.5703125" style="2" customWidth="1"/>
    <col min="4723" max="4724" width="8.85546875" style="2" customWidth="1"/>
    <col min="4725" max="4725" width="9.7109375" style="2" customWidth="1"/>
    <col min="4726" max="4726" width="8.5703125" style="2" customWidth="1"/>
    <col min="4727" max="4727" width="7.7109375" style="2" bestFit="1" customWidth="1"/>
    <col min="4728" max="4728" width="7.5703125" style="2" customWidth="1"/>
    <col min="4729" max="4729" width="8.28515625" style="2" bestFit="1" customWidth="1"/>
    <col min="4730" max="4730" width="8.28515625" style="2" customWidth="1"/>
    <col min="4731" max="4731" width="7.140625" style="2" bestFit="1" customWidth="1"/>
    <col min="4732" max="4732" width="9" style="2" customWidth="1"/>
    <col min="4733" max="4733" width="9.5703125" style="2" customWidth="1"/>
    <col min="4734" max="4734" width="9.7109375" style="2" customWidth="1"/>
    <col min="4735" max="4735" width="10.85546875" style="2" customWidth="1"/>
    <col min="4736" max="4736" width="10.42578125" style="2" customWidth="1"/>
    <col min="4737" max="4738" width="11.28515625" style="2" customWidth="1"/>
    <col min="4739" max="4739" width="11" style="2" customWidth="1"/>
    <col min="4740" max="4740" width="6.7109375" style="2" customWidth="1"/>
    <col min="4741" max="4743" width="9.85546875" style="2"/>
    <col min="4744" max="4744" width="13.140625" style="2" customWidth="1"/>
    <col min="4745" max="4821" width="9.85546875" style="2"/>
    <col min="4822" max="4822" width="27.5703125" style="2" customWidth="1"/>
    <col min="4823" max="4823" width="5.28515625" style="2" customWidth="1"/>
    <col min="4824" max="4825" width="9" style="2" customWidth="1"/>
    <col min="4826" max="4826" width="9.5703125" style="2" customWidth="1"/>
    <col min="4827" max="4827" width="9.7109375" style="2" customWidth="1"/>
    <col min="4828" max="4828" width="7.5703125" style="2" customWidth="1"/>
    <col min="4829" max="4829" width="10.42578125" style="2" customWidth="1"/>
    <col min="4830" max="4830" width="9.140625" style="2" bestFit="1" customWidth="1"/>
    <col min="4831" max="4831" width="7.28515625" style="2" customWidth="1"/>
    <col min="4832" max="4833" width="9.28515625" style="2" customWidth="1"/>
    <col min="4834" max="4834" width="9.5703125" style="2" customWidth="1"/>
    <col min="4835" max="4836" width="9" style="2" customWidth="1"/>
    <col min="4837" max="4837" width="8" style="2" customWidth="1"/>
    <col min="4838" max="4838" width="8.5703125" style="2" customWidth="1"/>
    <col min="4839" max="4839" width="8.28515625" style="2" customWidth="1"/>
    <col min="4840" max="4840" width="9.5703125" style="2" customWidth="1"/>
    <col min="4841" max="4841" width="8.42578125" style="2" customWidth="1"/>
    <col min="4842" max="4842" width="8.140625" style="2" customWidth="1"/>
    <col min="4843" max="4843" width="7.5703125" style="2" customWidth="1"/>
    <col min="4844" max="4844" width="9.140625" style="2" customWidth="1"/>
    <col min="4845" max="4845" width="9" style="2" customWidth="1"/>
    <col min="4846" max="4846" width="8.5703125" style="2" customWidth="1"/>
    <col min="4847" max="4847" width="7.85546875" style="2" customWidth="1"/>
    <col min="4848" max="4848" width="6.7109375" style="2" customWidth="1"/>
    <col min="4849" max="4849" width="5.7109375" style="2" customWidth="1"/>
    <col min="4850" max="4850" width="6.28515625" style="2" customWidth="1"/>
    <col min="4851" max="4851" width="6.5703125" style="2" customWidth="1"/>
    <col min="4852" max="4852" width="8.7109375" style="2" customWidth="1"/>
    <col min="4853" max="4853" width="9" style="2" customWidth="1"/>
    <col min="4854" max="4854" width="8.28515625" style="2" customWidth="1"/>
    <col min="4855" max="4855" width="8.42578125" style="2" customWidth="1"/>
    <col min="4856" max="4856" width="9.85546875" style="2" customWidth="1"/>
    <col min="4857" max="4857" width="10" style="2" customWidth="1"/>
    <col min="4858" max="4858" width="10.140625" style="2" customWidth="1"/>
    <col min="4859" max="4859" width="10.5703125" style="2" customWidth="1"/>
    <col min="4860" max="4860" width="8.140625" style="2" customWidth="1"/>
    <col min="4861" max="4861" width="7.85546875" style="2" customWidth="1"/>
    <col min="4862" max="4862" width="9" style="2" customWidth="1"/>
    <col min="4863" max="4863" width="10" style="2" customWidth="1"/>
    <col min="4864" max="4864" width="10.28515625" style="2" customWidth="1"/>
    <col min="4865" max="4865" width="10.140625" style="2" customWidth="1"/>
    <col min="4866" max="4866" width="10.5703125" style="2" customWidth="1"/>
    <col min="4867" max="4867" width="10.28515625" style="2" customWidth="1"/>
    <col min="4868" max="4868" width="9.7109375" style="2" customWidth="1"/>
    <col min="4869" max="4869" width="9.140625" style="2" bestFit="1" customWidth="1"/>
    <col min="4870" max="4870" width="9.28515625" style="2" customWidth="1"/>
    <col min="4871" max="4871" width="9" style="2" customWidth="1"/>
    <col min="4872" max="4872" width="8" style="2" customWidth="1"/>
    <col min="4873" max="4873" width="8.28515625" style="2" customWidth="1"/>
    <col min="4874" max="4874" width="7.85546875" style="2" customWidth="1"/>
    <col min="4875" max="4875" width="9" style="2" customWidth="1"/>
    <col min="4876" max="4876" width="8.42578125" style="2" customWidth="1"/>
    <col min="4877" max="4877" width="8.28515625" style="2" bestFit="1" customWidth="1"/>
    <col min="4878" max="4879" width="9" style="2" customWidth="1"/>
    <col min="4880" max="4880" width="7.140625" style="2" customWidth="1"/>
    <col min="4881" max="4881" width="9.140625" style="2" customWidth="1"/>
    <col min="4882" max="4882" width="7.7109375" style="2" customWidth="1"/>
    <col min="4883" max="4883" width="7.5703125" style="2" customWidth="1"/>
    <col min="4884" max="4884" width="10" style="2" customWidth="1"/>
    <col min="4885" max="4886" width="10.140625" style="2" bestFit="1" customWidth="1"/>
    <col min="4887" max="4887" width="12.7109375" style="2" bestFit="1" customWidth="1"/>
    <col min="4888" max="4888" width="9.140625" style="2" customWidth="1"/>
    <col min="4889" max="4889" width="9" style="2" customWidth="1"/>
    <col min="4890" max="4890" width="8.85546875" style="2" customWidth="1"/>
    <col min="4891" max="4891" width="10.42578125" style="2" customWidth="1"/>
    <col min="4892" max="4892" width="8.7109375" style="2" customWidth="1"/>
    <col min="4893" max="4893" width="8.140625" style="2" customWidth="1"/>
    <col min="4894" max="4894" width="7.7109375" style="2" customWidth="1"/>
    <col min="4895" max="4895" width="9.7109375" style="2" customWidth="1"/>
    <col min="4896" max="4896" width="6.5703125" style="2" bestFit="1" customWidth="1"/>
    <col min="4897" max="4898" width="7.5703125" style="2" customWidth="1"/>
    <col min="4899" max="4899" width="7.7109375" style="2" customWidth="1"/>
    <col min="4900" max="4901" width="9.28515625" style="2" bestFit="1" customWidth="1"/>
    <col min="4902" max="4902" width="9.5703125" style="2" customWidth="1"/>
    <col min="4903" max="4903" width="9.140625" style="2" customWidth="1"/>
    <col min="4904" max="4905" width="7.85546875" style="2" customWidth="1"/>
    <col min="4906" max="4906" width="9.42578125" style="2" customWidth="1"/>
    <col min="4907" max="4907" width="10" style="2" customWidth="1"/>
    <col min="4908" max="4908" width="6.42578125" style="2" customWidth="1"/>
    <col min="4909" max="4909" width="9" style="2" customWidth="1"/>
    <col min="4910" max="4910" width="8.85546875" style="2" customWidth="1"/>
    <col min="4911" max="4911" width="7.7109375" style="2" customWidth="1"/>
    <col min="4912" max="4912" width="9.7109375" style="2" customWidth="1"/>
    <col min="4913" max="4913" width="9.42578125" style="2" customWidth="1"/>
    <col min="4914" max="4914" width="9.85546875" style="2" customWidth="1"/>
    <col min="4915" max="4915" width="7.7109375" style="2" customWidth="1"/>
    <col min="4916" max="4916" width="8.5703125" style="2" customWidth="1"/>
    <col min="4917" max="4917" width="9.140625" style="2" customWidth="1"/>
    <col min="4918" max="4918" width="10.140625" style="2" customWidth="1"/>
    <col min="4919" max="4919" width="10.42578125" style="2" customWidth="1"/>
    <col min="4920" max="4921" width="7.85546875" style="2" customWidth="1"/>
    <col min="4922" max="4922" width="8.28515625" style="2" customWidth="1"/>
    <col min="4923" max="4923" width="10.42578125" style="2" customWidth="1"/>
    <col min="4924" max="4925" width="7.85546875" style="2" customWidth="1"/>
    <col min="4926" max="4926" width="8.28515625" style="2" customWidth="1"/>
    <col min="4927" max="4927" width="10.42578125" style="2" customWidth="1"/>
    <col min="4928" max="4928" width="8.5703125" style="2" customWidth="1"/>
    <col min="4929" max="4929" width="8.85546875" style="2" customWidth="1"/>
    <col min="4930" max="4930" width="8.7109375" style="2" customWidth="1"/>
    <col min="4931" max="4931" width="7.140625" style="2" bestFit="1" customWidth="1"/>
    <col min="4932" max="4932" width="7.7109375" style="2" bestFit="1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8.85546875" style="2" customWidth="1"/>
    <col min="4937" max="4937" width="9.42578125" style="2" customWidth="1"/>
    <col min="4938" max="4939" width="7.7109375" style="2" bestFit="1" customWidth="1"/>
    <col min="4940" max="4940" width="8.85546875" style="2" customWidth="1"/>
    <col min="4941" max="4941" width="9.42578125" style="2" customWidth="1"/>
    <col min="4942" max="4943" width="7.7109375" style="2" bestFit="1" customWidth="1"/>
    <col min="4944" max="4944" width="9.140625" style="2" customWidth="1"/>
    <col min="4945" max="4945" width="10" style="2" customWidth="1"/>
    <col min="4946" max="4946" width="9.5703125" style="2" customWidth="1"/>
    <col min="4947" max="4947" width="9.28515625" style="2" bestFit="1" customWidth="1"/>
    <col min="4948" max="4948" width="9.28515625" style="2" customWidth="1"/>
    <col min="4949" max="4949" width="9.28515625" style="2" bestFit="1" customWidth="1"/>
    <col min="4950" max="4950" width="10.28515625" style="2" customWidth="1"/>
    <col min="4951" max="4951" width="7.7109375" style="2" bestFit="1" customWidth="1"/>
    <col min="4952" max="4952" width="8" style="2" customWidth="1"/>
    <col min="4953" max="4953" width="8.5703125" style="2" customWidth="1"/>
    <col min="4954" max="4954" width="9.7109375" style="2" customWidth="1"/>
    <col min="4955" max="4955" width="9.42578125" style="2" customWidth="1"/>
    <col min="4956" max="4956" width="9.140625" style="2" customWidth="1"/>
    <col min="4957" max="4957" width="11.42578125" style="2" customWidth="1"/>
    <col min="4958" max="4958" width="12.5703125" style="2" customWidth="1"/>
    <col min="4959" max="4959" width="10.28515625" style="2" customWidth="1"/>
    <col min="4960" max="4960" width="7.7109375" style="2" bestFit="1" customWidth="1"/>
    <col min="4961" max="4961" width="8.28515625" style="2" bestFit="1" customWidth="1"/>
    <col min="4962" max="4963" width="7.7109375" style="2" bestFit="1" customWidth="1"/>
    <col min="4964" max="4964" width="6.5703125" style="2" bestFit="1" customWidth="1"/>
    <col min="4965" max="4965" width="8.28515625" style="2" bestFit="1" customWidth="1"/>
    <col min="4966" max="4966" width="6.5703125" style="2" bestFit="1" customWidth="1"/>
    <col min="4967" max="4967" width="7.140625" style="2" bestFit="1" customWidth="1"/>
    <col min="4968" max="4968" width="7.7109375" style="2" bestFit="1" customWidth="1"/>
    <col min="4969" max="4969" width="8.28515625" style="2" bestFit="1" customWidth="1"/>
    <col min="4970" max="4972" width="7.7109375" style="2" bestFit="1" customWidth="1"/>
    <col min="4973" max="4973" width="8.28515625" style="2" bestFit="1" customWidth="1"/>
    <col min="4974" max="4975" width="7.7109375" style="2" bestFit="1" customWidth="1"/>
    <col min="4976" max="4977" width="9.85546875" style="2" customWidth="1"/>
    <col min="4978" max="4978" width="8.5703125" style="2" customWidth="1"/>
    <col min="4979" max="4980" width="8.85546875" style="2" customWidth="1"/>
    <col min="4981" max="4981" width="9.7109375" style="2" customWidth="1"/>
    <col min="4982" max="4982" width="8.5703125" style="2" customWidth="1"/>
    <col min="4983" max="4983" width="7.7109375" style="2" bestFit="1" customWidth="1"/>
    <col min="4984" max="4984" width="7.5703125" style="2" customWidth="1"/>
    <col min="4985" max="4985" width="8.28515625" style="2" bestFit="1" customWidth="1"/>
    <col min="4986" max="4986" width="8.28515625" style="2" customWidth="1"/>
    <col min="4987" max="4987" width="7.140625" style="2" bestFit="1" customWidth="1"/>
    <col min="4988" max="4988" width="9" style="2" customWidth="1"/>
    <col min="4989" max="4989" width="9.5703125" style="2" customWidth="1"/>
    <col min="4990" max="4990" width="9.7109375" style="2" customWidth="1"/>
    <col min="4991" max="4991" width="10.85546875" style="2" customWidth="1"/>
    <col min="4992" max="4992" width="10.42578125" style="2" customWidth="1"/>
    <col min="4993" max="4994" width="11.28515625" style="2" customWidth="1"/>
    <col min="4995" max="4995" width="11" style="2" customWidth="1"/>
    <col min="4996" max="4996" width="6.7109375" style="2" customWidth="1"/>
    <col min="4997" max="4999" width="9.85546875" style="2"/>
    <col min="5000" max="5000" width="13.140625" style="2" customWidth="1"/>
    <col min="5001" max="5077" width="9.85546875" style="2"/>
    <col min="5078" max="5078" width="27.5703125" style="2" customWidth="1"/>
    <col min="5079" max="5079" width="5.28515625" style="2" customWidth="1"/>
    <col min="5080" max="5081" width="9" style="2" customWidth="1"/>
    <col min="5082" max="5082" width="9.5703125" style="2" customWidth="1"/>
    <col min="5083" max="5083" width="9.7109375" style="2" customWidth="1"/>
    <col min="5084" max="5084" width="7.5703125" style="2" customWidth="1"/>
    <col min="5085" max="5085" width="10.42578125" style="2" customWidth="1"/>
    <col min="5086" max="5086" width="9.140625" style="2" bestFit="1" customWidth="1"/>
    <col min="5087" max="5087" width="7.28515625" style="2" customWidth="1"/>
    <col min="5088" max="5089" width="9.28515625" style="2" customWidth="1"/>
    <col min="5090" max="5090" width="9.5703125" style="2" customWidth="1"/>
    <col min="5091" max="5092" width="9" style="2" customWidth="1"/>
    <col min="5093" max="5093" width="8" style="2" customWidth="1"/>
    <col min="5094" max="5094" width="8.5703125" style="2" customWidth="1"/>
    <col min="5095" max="5095" width="8.28515625" style="2" customWidth="1"/>
    <col min="5096" max="5096" width="9.5703125" style="2" customWidth="1"/>
    <col min="5097" max="5097" width="8.42578125" style="2" customWidth="1"/>
    <col min="5098" max="5098" width="8.140625" style="2" customWidth="1"/>
    <col min="5099" max="5099" width="7.5703125" style="2" customWidth="1"/>
    <col min="5100" max="5100" width="9.140625" style="2" customWidth="1"/>
    <col min="5101" max="5101" width="9" style="2" customWidth="1"/>
    <col min="5102" max="5102" width="8.5703125" style="2" customWidth="1"/>
    <col min="5103" max="5103" width="7.85546875" style="2" customWidth="1"/>
    <col min="5104" max="5104" width="6.7109375" style="2" customWidth="1"/>
    <col min="5105" max="5105" width="5.7109375" style="2" customWidth="1"/>
    <col min="5106" max="5106" width="6.28515625" style="2" customWidth="1"/>
    <col min="5107" max="5107" width="6.5703125" style="2" customWidth="1"/>
    <col min="5108" max="5108" width="8.7109375" style="2" customWidth="1"/>
    <col min="5109" max="5109" width="9" style="2" customWidth="1"/>
    <col min="5110" max="5110" width="8.28515625" style="2" customWidth="1"/>
    <col min="5111" max="5111" width="8.42578125" style="2" customWidth="1"/>
    <col min="5112" max="5112" width="9.85546875" style="2" customWidth="1"/>
    <col min="5113" max="5113" width="10" style="2" customWidth="1"/>
    <col min="5114" max="5114" width="10.140625" style="2" customWidth="1"/>
    <col min="5115" max="5115" width="10.5703125" style="2" customWidth="1"/>
    <col min="5116" max="5116" width="8.140625" style="2" customWidth="1"/>
    <col min="5117" max="5117" width="7.85546875" style="2" customWidth="1"/>
    <col min="5118" max="5118" width="9" style="2" customWidth="1"/>
    <col min="5119" max="5119" width="10" style="2" customWidth="1"/>
    <col min="5120" max="5120" width="10.28515625" style="2" customWidth="1"/>
    <col min="5121" max="5121" width="10.140625" style="2" customWidth="1"/>
    <col min="5122" max="5122" width="10.5703125" style="2" customWidth="1"/>
    <col min="5123" max="5123" width="10.28515625" style="2" customWidth="1"/>
    <col min="5124" max="5124" width="9.7109375" style="2" customWidth="1"/>
    <col min="5125" max="5125" width="9.140625" style="2" bestFit="1" customWidth="1"/>
    <col min="5126" max="5126" width="9.28515625" style="2" customWidth="1"/>
    <col min="5127" max="5127" width="9" style="2" customWidth="1"/>
    <col min="5128" max="5128" width="8" style="2" customWidth="1"/>
    <col min="5129" max="5129" width="8.28515625" style="2" customWidth="1"/>
    <col min="5130" max="5130" width="7.85546875" style="2" customWidth="1"/>
    <col min="5131" max="5131" width="9" style="2" customWidth="1"/>
    <col min="5132" max="5132" width="8.42578125" style="2" customWidth="1"/>
    <col min="5133" max="5133" width="8.28515625" style="2" bestFit="1" customWidth="1"/>
    <col min="5134" max="5135" width="9" style="2" customWidth="1"/>
    <col min="5136" max="5136" width="7.140625" style="2" customWidth="1"/>
    <col min="5137" max="5137" width="9.140625" style="2" customWidth="1"/>
    <col min="5138" max="5138" width="7.7109375" style="2" customWidth="1"/>
    <col min="5139" max="5139" width="7.5703125" style="2" customWidth="1"/>
    <col min="5140" max="5140" width="10" style="2" customWidth="1"/>
    <col min="5141" max="5142" width="10.140625" style="2" bestFit="1" customWidth="1"/>
    <col min="5143" max="5143" width="12.7109375" style="2" bestFit="1" customWidth="1"/>
    <col min="5144" max="5144" width="9.140625" style="2" customWidth="1"/>
    <col min="5145" max="5145" width="9" style="2" customWidth="1"/>
    <col min="5146" max="5146" width="8.85546875" style="2" customWidth="1"/>
    <col min="5147" max="5147" width="10.42578125" style="2" customWidth="1"/>
    <col min="5148" max="5148" width="8.7109375" style="2" customWidth="1"/>
    <col min="5149" max="5149" width="8.140625" style="2" customWidth="1"/>
    <col min="5150" max="5150" width="7.7109375" style="2" customWidth="1"/>
    <col min="5151" max="5151" width="9.7109375" style="2" customWidth="1"/>
    <col min="5152" max="5152" width="6.5703125" style="2" bestFit="1" customWidth="1"/>
    <col min="5153" max="5154" width="7.5703125" style="2" customWidth="1"/>
    <col min="5155" max="5155" width="7.7109375" style="2" customWidth="1"/>
    <col min="5156" max="5157" width="9.28515625" style="2" bestFit="1" customWidth="1"/>
    <col min="5158" max="5158" width="9.5703125" style="2" customWidth="1"/>
    <col min="5159" max="5159" width="9.140625" style="2" customWidth="1"/>
    <col min="5160" max="5161" width="7.85546875" style="2" customWidth="1"/>
    <col min="5162" max="5162" width="9.42578125" style="2" customWidth="1"/>
    <col min="5163" max="5163" width="10" style="2" customWidth="1"/>
    <col min="5164" max="5164" width="6.42578125" style="2" customWidth="1"/>
    <col min="5165" max="5165" width="9" style="2" customWidth="1"/>
    <col min="5166" max="5166" width="8.85546875" style="2" customWidth="1"/>
    <col min="5167" max="5167" width="7.7109375" style="2" customWidth="1"/>
    <col min="5168" max="5168" width="9.7109375" style="2" customWidth="1"/>
    <col min="5169" max="5169" width="9.42578125" style="2" customWidth="1"/>
    <col min="5170" max="5170" width="9.85546875" style="2" customWidth="1"/>
    <col min="5171" max="5171" width="7.7109375" style="2" customWidth="1"/>
    <col min="5172" max="5172" width="8.5703125" style="2" customWidth="1"/>
    <col min="5173" max="5173" width="9.140625" style="2" customWidth="1"/>
    <col min="5174" max="5174" width="10.140625" style="2" customWidth="1"/>
    <col min="5175" max="5175" width="10.42578125" style="2" customWidth="1"/>
    <col min="5176" max="5177" width="7.85546875" style="2" customWidth="1"/>
    <col min="5178" max="5178" width="8.28515625" style="2" customWidth="1"/>
    <col min="5179" max="5179" width="10.42578125" style="2" customWidth="1"/>
    <col min="5180" max="5181" width="7.85546875" style="2" customWidth="1"/>
    <col min="5182" max="5182" width="8.28515625" style="2" customWidth="1"/>
    <col min="5183" max="5183" width="10.42578125" style="2" customWidth="1"/>
    <col min="5184" max="5184" width="8.5703125" style="2" customWidth="1"/>
    <col min="5185" max="5185" width="8.85546875" style="2" customWidth="1"/>
    <col min="5186" max="5186" width="8.7109375" style="2" customWidth="1"/>
    <col min="5187" max="5187" width="7.140625" style="2" bestFit="1" customWidth="1"/>
    <col min="5188" max="5188" width="7.7109375" style="2" bestFit="1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8.85546875" style="2" customWidth="1"/>
    <col min="5193" max="5193" width="9.42578125" style="2" customWidth="1"/>
    <col min="5194" max="5195" width="7.7109375" style="2" bestFit="1" customWidth="1"/>
    <col min="5196" max="5196" width="8.85546875" style="2" customWidth="1"/>
    <col min="5197" max="5197" width="9.42578125" style="2" customWidth="1"/>
    <col min="5198" max="5199" width="7.7109375" style="2" bestFit="1" customWidth="1"/>
    <col min="5200" max="5200" width="9.140625" style="2" customWidth="1"/>
    <col min="5201" max="5201" width="10" style="2" customWidth="1"/>
    <col min="5202" max="5202" width="9.5703125" style="2" customWidth="1"/>
    <col min="5203" max="5203" width="9.28515625" style="2" bestFit="1" customWidth="1"/>
    <col min="5204" max="5204" width="9.28515625" style="2" customWidth="1"/>
    <col min="5205" max="5205" width="9.28515625" style="2" bestFit="1" customWidth="1"/>
    <col min="5206" max="5206" width="10.28515625" style="2" customWidth="1"/>
    <col min="5207" max="5207" width="7.7109375" style="2" bestFit="1" customWidth="1"/>
    <col min="5208" max="5208" width="8" style="2" customWidth="1"/>
    <col min="5209" max="5209" width="8.5703125" style="2" customWidth="1"/>
    <col min="5210" max="5210" width="9.7109375" style="2" customWidth="1"/>
    <col min="5211" max="5211" width="9.42578125" style="2" customWidth="1"/>
    <col min="5212" max="5212" width="9.140625" style="2" customWidth="1"/>
    <col min="5213" max="5213" width="11.42578125" style="2" customWidth="1"/>
    <col min="5214" max="5214" width="12.5703125" style="2" customWidth="1"/>
    <col min="5215" max="5215" width="10.28515625" style="2" customWidth="1"/>
    <col min="5216" max="5216" width="7.7109375" style="2" bestFit="1" customWidth="1"/>
    <col min="5217" max="5217" width="8.28515625" style="2" bestFit="1" customWidth="1"/>
    <col min="5218" max="5219" width="7.7109375" style="2" bestFit="1" customWidth="1"/>
    <col min="5220" max="5220" width="6.5703125" style="2" bestFit="1" customWidth="1"/>
    <col min="5221" max="5221" width="8.28515625" style="2" bestFit="1" customWidth="1"/>
    <col min="5222" max="5222" width="6.5703125" style="2" bestFit="1" customWidth="1"/>
    <col min="5223" max="5223" width="7.140625" style="2" bestFit="1" customWidth="1"/>
    <col min="5224" max="5224" width="7.7109375" style="2" bestFit="1" customWidth="1"/>
    <col min="5225" max="5225" width="8.28515625" style="2" bestFit="1" customWidth="1"/>
    <col min="5226" max="5228" width="7.7109375" style="2" bestFit="1" customWidth="1"/>
    <col min="5229" max="5229" width="8.28515625" style="2" bestFit="1" customWidth="1"/>
    <col min="5230" max="5231" width="7.7109375" style="2" bestFit="1" customWidth="1"/>
    <col min="5232" max="5233" width="9.85546875" style="2" customWidth="1"/>
    <col min="5234" max="5234" width="8.5703125" style="2" customWidth="1"/>
    <col min="5235" max="5236" width="8.85546875" style="2" customWidth="1"/>
    <col min="5237" max="5237" width="9.7109375" style="2" customWidth="1"/>
    <col min="5238" max="5238" width="8.5703125" style="2" customWidth="1"/>
    <col min="5239" max="5239" width="7.7109375" style="2" bestFit="1" customWidth="1"/>
    <col min="5240" max="5240" width="7.5703125" style="2" customWidth="1"/>
    <col min="5241" max="5241" width="8.28515625" style="2" bestFit="1" customWidth="1"/>
    <col min="5242" max="5242" width="8.28515625" style="2" customWidth="1"/>
    <col min="5243" max="5243" width="7.140625" style="2" bestFit="1" customWidth="1"/>
    <col min="5244" max="5244" width="9" style="2" customWidth="1"/>
    <col min="5245" max="5245" width="9.5703125" style="2" customWidth="1"/>
    <col min="5246" max="5246" width="9.7109375" style="2" customWidth="1"/>
    <col min="5247" max="5247" width="10.85546875" style="2" customWidth="1"/>
    <col min="5248" max="5248" width="10.42578125" style="2" customWidth="1"/>
    <col min="5249" max="5250" width="11.28515625" style="2" customWidth="1"/>
    <col min="5251" max="5251" width="11" style="2" customWidth="1"/>
    <col min="5252" max="5252" width="6.7109375" style="2" customWidth="1"/>
    <col min="5253" max="5255" width="9.85546875" style="2"/>
    <col min="5256" max="5256" width="13.140625" style="2" customWidth="1"/>
    <col min="5257" max="5333" width="9.85546875" style="2"/>
    <col min="5334" max="5334" width="27.5703125" style="2" customWidth="1"/>
    <col min="5335" max="5335" width="5.28515625" style="2" customWidth="1"/>
    <col min="5336" max="5337" width="9" style="2" customWidth="1"/>
    <col min="5338" max="5338" width="9.5703125" style="2" customWidth="1"/>
    <col min="5339" max="5339" width="9.7109375" style="2" customWidth="1"/>
    <col min="5340" max="5340" width="7.5703125" style="2" customWidth="1"/>
    <col min="5341" max="5341" width="10.42578125" style="2" customWidth="1"/>
    <col min="5342" max="5342" width="9.140625" style="2" bestFit="1" customWidth="1"/>
    <col min="5343" max="5343" width="7.28515625" style="2" customWidth="1"/>
    <col min="5344" max="5345" width="9.28515625" style="2" customWidth="1"/>
    <col min="5346" max="5346" width="9.5703125" style="2" customWidth="1"/>
    <col min="5347" max="5348" width="9" style="2" customWidth="1"/>
    <col min="5349" max="5349" width="8" style="2" customWidth="1"/>
    <col min="5350" max="5350" width="8.5703125" style="2" customWidth="1"/>
    <col min="5351" max="5351" width="8.28515625" style="2" customWidth="1"/>
    <col min="5352" max="5352" width="9.5703125" style="2" customWidth="1"/>
    <col min="5353" max="5353" width="8.42578125" style="2" customWidth="1"/>
    <col min="5354" max="5354" width="8.140625" style="2" customWidth="1"/>
    <col min="5355" max="5355" width="7.5703125" style="2" customWidth="1"/>
    <col min="5356" max="5356" width="9.140625" style="2" customWidth="1"/>
    <col min="5357" max="5357" width="9" style="2" customWidth="1"/>
    <col min="5358" max="5358" width="8.5703125" style="2" customWidth="1"/>
    <col min="5359" max="5359" width="7.85546875" style="2" customWidth="1"/>
    <col min="5360" max="5360" width="6.7109375" style="2" customWidth="1"/>
    <col min="5361" max="5361" width="5.7109375" style="2" customWidth="1"/>
    <col min="5362" max="5362" width="6.28515625" style="2" customWidth="1"/>
    <col min="5363" max="5363" width="6.5703125" style="2" customWidth="1"/>
    <col min="5364" max="5364" width="8.7109375" style="2" customWidth="1"/>
    <col min="5365" max="5365" width="9" style="2" customWidth="1"/>
    <col min="5366" max="5366" width="8.28515625" style="2" customWidth="1"/>
    <col min="5367" max="5367" width="8.42578125" style="2" customWidth="1"/>
    <col min="5368" max="5368" width="9.85546875" style="2" customWidth="1"/>
    <col min="5369" max="5369" width="10" style="2" customWidth="1"/>
    <col min="5370" max="5370" width="10.140625" style="2" customWidth="1"/>
    <col min="5371" max="5371" width="10.5703125" style="2" customWidth="1"/>
    <col min="5372" max="5372" width="8.140625" style="2" customWidth="1"/>
    <col min="5373" max="5373" width="7.85546875" style="2" customWidth="1"/>
    <col min="5374" max="5374" width="9" style="2" customWidth="1"/>
    <col min="5375" max="5375" width="10" style="2" customWidth="1"/>
    <col min="5376" max="5376" width="10.28515625" style="2" customWidth="1"/>
    <col min="5377" max="5377" width="10.140625" style="2" customWidth="1"/>
    <col min="5378" max="5378" width="10.5703125" style="2" customWidth="1"/>
    <col min="5379" max="5379" width="10.28515625" style="2" customWidth="1"/>
    <col min="5380" max="5380" width="9.7109375" style="2" customWidth="1"/>
    <col min="5381" max="5381" width="9.140625" style="2" bestFit="1" customWidth="1"/>
    <col min="5382" max="5382" width="9.28515625" style="2" customWidth="1"/>
    <col min="5383" max="5383" width="9" style="2" customWidth="1"/>
    <col min="5384" max="5384" width="8" style="2" customWidth="1"/>
    <col min="5385" max="5385" width="8.28515625" style="2" customWidth="1"/>
    <col min="5386" max="5386" width="7.85546875" style="2" customWidth="1"/>
    <col min="5387" max="5387" width="9" style="2" customWidth="1"/>
    <col min="5388" max="5388" width="8.42578125" style="2" customWidth="1"/>
    <col min="5389" max="5389" width="8.28515625" style="2" bestFit="1" customWidth="1"/>
    <col min="5390" max="5391" width="9" style="2" customWidth="1"/>
    <col min="5392" max="5392" width="7.140625" style="2" customWidth="1"/>
    <col min="5393" max="5393" width="9.140625" style="2" customWidth="1"/>
    <col min="5394" max="5394" width="7.7109375" style="2" customWidth="1"/>
    <col min="5395" max="5395" width="7.5703125" style="2" customWidth="1"/>
    <col min="5396" max="5396" width="10" style="2" customWidth="1"/>
    <col min="5397" max="5398" width="10.140625" style="2" bestFit="1" customWidth="1"/>
    <col min="5399" max="5399" width="12.7109375" style="2" bestFit="1" customWidth="1"/>
    <col min="5400" max="5400" width="9.140625" style="2" customWidth="1"/>
    <col min="5401" max="5401" width="9" style="2" customWidth="1"/>
    <col min="5402" max="5402" width="8.85546875" style="2" customWidth="1"/>
    <col min="5403" max="5403" width="10.42578125" style="2" customWidth="1"/>
    <col min="5404" max="5404" width="8.7109375" style="2" customWidth="1"/>
    <col min="5405" max="5405" width="8.140625" style="2" customWidth="1"/>
    <col min="5406" max="5406" width="7.7109375" style="2" customWidth="1"/>
    <col min="5407" max="5407" width="9.7109375" style="2" customWidth="1"/>
    <col min="5408" max="5408" width="6.5703125" style="2" bestFit="1" customWidth="1"/>
    <col min="5409" max="5410" width="7.5703125" style="2" customWidth="1"/>
    <col min="5411" max="5411" width="7.7109375" style="2" customWidth="1"/>
    <col min="5412" max="5413" width="9.28515625" style="2" bestFit="1" customWidth="1"/>
    <col min="5414" max="5414" width="9.5703125" style="2" customWidth="1"/>
    <col min="5415" max="5415" width="9.140625" style="2" customWidth="1"/>
    <col min="5416" max="5417" width="7.85546875" style="2" customWidth="1"/>
    <col min="5418" max="5418" width="9.42578125" style="2" customWidth="1"/>
    <col min="5419" max="5419" width="10" style="2" customWidth="1"/>
    <col min="5420" max="5420" width="6.42578125" style="2" customWidth="1"/>
    <col min="5421" max="5421" width="9" style="2" customWidth="1"/>
    <col min="5422" max="5422" width="8.85546875" style="2" customWidth="1"/>
    <col min="5423" max="5423" width="7.7109375" style="2" customWidth="1"/>
    <col min="5424" max="5424" width="9.7109375" style="2" customWidth="1"/>
    <col min="5425" max="5425" width="9.42578125" style="2" customWidth="1"/>
    <col min="5426" max="5426" width="9.85546875" style="2" customWidth="1"/>
    <col min="5427" max="5427" width="7.7109375" style="2" customWidth="1"/>
    <col min="5428" max="5428" width="8.5703125" style="2" customWidth="1"/>
    <col min="5429" max="5429" width="9.140625" style="2" customWidth="1"/>
    <col min="5430" max="5430" width="10.140625" style="2" customWidth="1"/>
    <col min="5431" max="5431" width="10.42578125" style="2" customWidth="1"/>
    <col min="5432" max="5433" width="7.85546875" style="2" customWidth="1"/>
    <col min="5434" max="5434" width="8.28515625" style="2" customWidth="1"/>
    <col min="5435" max="5435" width="10.42578125" style="2" customWidth="1"/>
    <col min="5436" max="5437" width="7.85546875" style="2" customWidth="1"/>
    <col min="5438" max="5438" width="8.28515625" style="2" customWidth="1"/>
    <col min="5439" max="5439" width="10.42578125" style="2" customWidth="1"/>
    <col min="5440" max="5440" width="8.5703125" style="2" customWidth="1"/>
    <col min="5441" max="5441" width="8.85546875" style="2" customWidth="1"/>
    <col min="5442" max="5442" width="8.7109375" style="2" customWidth="1"/>
    <col min="5443" max="5443" width="7.140625" style="2" bestFit="1" customWidth="1"/>
    <col min="5444" max="5444" width="7.7109375" style="2" bestFit="1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8.85546875" style="2" customWidth="1"/>
    <col min="5449" max="5449" width="9.42578125" style="2" customWidth="1"/>
    <col min="5450" max="5451" width="7.7109375" style="2" bestFit="1" customWidth="1"/>
    <col min="5452" max="5452" width="8.85546875" style="2" customWidth="1"/>
    <col min="5453" max="5453" width="9.42578125" style="2" customWidth="1"/>
    <col min="5454" max="5455" width="7.7109375" style="2" bestFit="1" customWidth="1"/>
    <col min="5456" max="5456" width="9.140625" style="2" customWidth="1"/>
    <col min="5457" max="5457" width="10" style="2" customWidth="1"/>
    <col min="5458" max="5458" width="9.5703125" style="2" customWidth="1"/>
    <col min="5459" max="5459" width="9.28515625" style="2" bestFit="1" customWidth="1"/>
    <col min="5460" max="5460" width="9.28515625" style="2" customWidth="1"/>
    <col min="5461" max="5461" width="9.28515625" style="2" bestFit="1" customWidth="1"/>
    <col min="5462" max="5462" width="10.28515625" style="2" customWidth="1"/>
    <col min="5463" max="5463" width="7.7109375" style="2" bestFit="1" customWidth="1"/>
    <col min="5464" max="5464" width="8" style="2" customWidth="1"/>
    <col min="5465" max="5465" width="8.5703125" style="2" customWidth="1"/>
    <col min="5466" max="5466" width="9.7109375" style="2" customWidth="1"/>
    <col min="5467" max="5467" width="9.42578125" style="2" customWidth="1"/>
    <col min="5468" max="5468" width="9.140625" style="2" customWidth="1"/>
    <col min="5469" max="5469" width="11.42578125" style="2" customWidth="1"/>
    <col min="5470" max="5470" width="12.5703125" style="2" customWidth="1"/>
    <col min="5471" max="5471" width="10.28515625" style="2" customWidth="1"/>
    <col min="5472" max="5472" width="7.7109375" style="2" bestFit="1" customWidth="1"/>
    <col min="5473" max="5473" width="8.28515625" style="2" bestFit="1" customWidth="1"/>
    <col min="5474" max="5475" width="7.7109375" style="2" bestFit="1" customWidth="1"/>
    <col min="5476" max="5476" width="6.5703125" style="2" bestFit="1" customWidth="1"/>
    <col min="5477" max="5477" width="8.28515625" style="2" bestFit="1" customWidth="1"/>
    <col min="5478" max="5478" width="6.5703125" style="2" bestFit="1" customWidth="1"/>
    <col min="5479" max="5479" width="7.140625" style="2" bestFit="1" customWidth="1"/>
    <col min="5480" max="5480" width="7.7109375" style="2" bestFit="1" customWidth="1"/>
    <col min="5481" max="5481" width="8.28515625" style="2" bestFit="1" customWidth="1"/>
    <col min="5482" max="5484" width="7.7109375" style="2" bestFit="1" customWidth="1"/>
    <col min="5485" max="5485" width="8.28515625" style="2" bestFit="1" customWidth="1"/>
    <col min="5486" max="5487" width="7.7109375" style="2" bestFit="1" customWidth="1"/>
    <col min="5488" max="5489" width="9.85546875" style="2" customWidth="1"/>
    <col min="5490" max="5490" width="8.5703125" style="2" customWidth="1"/>
    <col min="5491" max="5492" width="8.85546875" style="2" customWidth="1"/>
    <col min="5493" max="5493" width="9.7109375" style="2" customWidth="1"/>
    <col min="5494" max="5494" width="8.5703125" style="2" customWidth="1"/>
    <col min="5495" max="5495" width="7.7109375" style="2" bestFit="1" customWidth="1"/>
    <col min="5496" max="5496" width="7.5703125" style="2" customWidth="1"/>
    <col min="5497" max="5497" width="8.28515625" style="2" bestFit="1" customWidth="1"/>
    <col min="5498" max="5498" width="8.28515625" style="2" customWidth="1"/>
    <col min="5499" max="5499" width="7.140625" style="2" bestFit="1" customWidth="1"/>
    <col min="5500" max="5500" width="9" style="2" customWidth="1"/>
    <col min="5501" max="5501" width="9.5703125" style="2" customWidth="1"/>
    <col min="5502" max="5502" width="9.7109375" style="2" customWidth="1"/>
    <col min="5503" max="5503" width="10.85546875" style="2" customWidth="1"/>
    <col min="5504" max="5504" width="10.42578125" style="2" customWidth="1"/>
    <col min="5505" max="5506" width="11.28515625" style="2" customWidth="1"/>
    <col min="5507" max="5507" width="11" style="2" customWidth="1"/>
    <col min="5508" max="5508" width="6.7109375" style="2" customWidth="1"/>
    <col min="5509" max="5511" width="9.85546875" style="2"/>
    <col min="5512" max="5512" width="13.140625" style="2" customWidth="1"/>
    <col min="5513" max="5589" width="9.85546875" style="2"/>
    <col min="5590" max="5590" width="27.5703125" style="2" customWidth="1"/>
    <col min="5591" max="5591" width="5.28515625" style="2" customWidth="1"/>
    <col min="5592" max="5593" width="9" style="2" customWidth="1"/>
    <col min="5594" max="5594" width="9.5703125" style="2" customWidth="1"/>
    <col min="5595" max="5595" width="9.7109375" style="2" customWidth="1"/>
    <col min="5596" max="5596" width="7.5703125" style="2" customWidth="1"/>
    <col min="5597" max="5597" width="10.42578125" style="2" customWidth="1"/>
    <col min="5598" max="5598" width="9.140625" style="2" bestFit="1" customWidth="1"/>
    <col min="5599" max="5599" width="7.28515625" style="2" customWidth="1"/>
    <col min="5600" max="5601" width="9.28515625" style="2" customWidth="1"/>
    <col min="5602" max="5602" width="9.5703125" style="2" customWidth="1"/>
    <col min="5603" max="5604" width="9" style="2" customWidth="1"/>
    <col min="5605" max="5605" width="8" style="2" customWidth="1"/>
    <col min="5606" max="5606" width="8.5703125" style="2" customWidth="1"/>
    <col min="5607" max="5607" width="8.28515625" style="2" customWidth="1"/>
    <col min="5608" max="5608" width="9.5703125" style="2" customWidth="1"/>
    <col min="5609" max="5609" width="8.42578125" style="2" customWidth="1"/>
    <col min="5610" max="5610" width="8.140625" style="2" customWidth="1"/>
    <col min="5611" max="5611" width="7.5703125" style="2" customWidth="1"/>
    <col min="5612" max="5612" width="9.140625" style="2" customWidth="1"/>
    <col min="5613" max="5613" width="9" style="2" customWidth="1"/>
    <col min="5614" max="5614" width="8.5703125" style="2" customWidth="1"/>
    <col min="5615" max="5615" width="7.85546875" style="2" customWidth="1"/>
    <col min="5616" max="5616" width="6.7109375" style="2" customWidth="1"/>
    <col min="5617" max="5617" width="5.7109375" style="2" customWidth="1"/>
    <col min="5618" max="5618" width="6.28515625" style="2" customWidth="1"/>
    <col min="5619" max="5619" width="6.5703125" style="2" customWidth="1"/>
    <col min="5620" max="5620" width="8.7109375" style="2" customWidth="1"/>
    <col min="5621" max="5621" width="9" style="2" customWidth="1"/>
    <col min="5622" max="5622" width="8.28515625" style="2" customWidth="1"/>
    <col min="5623" max="5623" width="8.42578125" style="2" customWidth="1"/>
    <col min="5624" max="5624" width="9.85546875" style="2" customWidth="1"/>
    <col min="5625" max="5625" width="10" style="2" customWidth="1"/>
    <col min="5626" max="5626" width="10.140625" style="2" customWidth="1"/>
    <col min="5627" max="5627" width="10.5703125" style="2" customWidth="1"/>
    <col min="5628" max="5628" width="8.140625" style="2" customWidth="1"/>
    <col min="5629" max="5629" width="7.85546875" style="2" customWidth="1"/>
    <col min="5630" max="5630" width="9" style="2" customWidth="1"/>
    <col min="5631" max="5631" width="10" style="2" customWidth="1"/>
    <col min="5632" max="5632" width="10.28515625" style="2" customWidth="1"/>
    <col min="5633" max="5633" width="10.140625" style="2" customWidth="1"/>
    <col min="5634" max="5634" width="10.5703125" style="2" customWidth="1"/>
    <col min="5635" max="5635" width="10.28515625" style="2" customWidth="1"/>
    <col min="5636" max="5636" width="9.7109375" style="2" customWidth="1"/>
    <col min="5637" max="5637" width="9.140625" style="2" bestFit="1" customWidth="1"/>
    <col min="5638" max="5638" width="9.28515625" style="2" customWidth="1"/>
    <col min="5639" max="5639" width="9" style="2" customWidth="1"/>
    <col min="5640" max="5640" width="8" style="2" customWidth="1"/>
    <col min="5641" max="5641" width="8.28515625" style="2" customWidth="1"/>
    <col min="5642" max="5642" width="7.85546875" style="2" customWidth="1"/>
    <col min="5643" max="5643" width="9" style="2" customWidth="1"/>
    <col min="5644" max="5644" width="8.42578125" style="2" customWidth="1"/>
    <col min="5645" max="5645" width="8.28515625" style="2" bestFit="1" customWidth="1"/>
    <col min="5646" max="5647" width="9" style="2" customWidth="1"/>
    <col min="5648" max="5648" width="7.140625" style="2" customWidth="1"/>
    <col min="5649" max="5649" width="9.140625" style="2" customWidth="1"/>
    <col min="5650" max="5650" width="7.7109375" style="2" customWidth="1"/>
    <col min="5651" max="5651" width="7.5703125" style="2" customWidth="1"/>
    <col min="5652" max="5652" width="10" style="2" customWidth="1"/>
    <col min="5653" max="5654" width="10.140625" style="2" bestFit="1" customWidth="1"/>
    <col min="5655" max="5655" width="12.7109375" style="2" bestFit="1" customWidth="1"/>
    <col min="5656" max="5656" width="9.140625" style="2" customWidth="1"/>
    <col min="5657" max="5657" width="9" style="2" customWidth="1"/>
    <col min="5658" max="5658" width="8.85546875" style="2" customWidth="1"/>
    <col min="5659" max="5659" width="10.42578125" style="2" customWidth="1"/>
    <col min="5660" max="5660" width="8.7109375" style="2" customWidth="1"/>
    <col min="5661" max="5661" width="8.140625" style="2" customWidth="1"/>
    <col min="5662" max="5662" width="7.7109375" style="2" customWidth="1"/>
    <col min="5663" max="5663" width="9.7109375" style="2" customWidth="1"/>
    <col min="5664" max="5664" width="6.5703125" style="2" bestFit="1" customWidth="1"/>
    <col min="5665" max="5666" width="7.5703125" style="2" customWidth="1"/>
    <col min="5667" max="5667" width="7.7109375" style="2" customWidth="1"/>
    <col min="5668" max="5669" width="9.28515625" style="2" bestFit="1" customWidth="1"/>
    <col min="5670" max="5670" width="9.5703125" style="2" customWidth="1"/>
    <col min="5671" max="5671" width="9.140625" style="2" customWidth="1"/>
    <col min="5672" max="5673" width="7.85546875" style="2" customWidth="1"/>
    <col min="5674" max="5674" width="9.42578125" style="2" customWidth="1"/>
    <col min="5675" max="5675" width="10" style="2" customWidth="1"/>
    <col min="5676" max="5676" width="6.42578125" style="2" customWidth="1"/>
    <col min="5677" max="5677" width="9" style="2" customWidth="1"/>
    <col min="5678" max="5678" width="8.85546875" style="2" customWidth="1"/>
    <col min="5679" max="5679" width="7.7109375" style="2" customWidth="1"/>
    <col min="5680" max="5680" width="9.7109375" style="2" customWidth="1"/>
    <col min="5681" max="5681" width="9.42578125" style="2" customWidth="1"/>
    <col min="5682" max="5682" width="9.85546875" style="2" customWidth="1"/>
    <col min="5683" max="5683" width="7.7109375" style="2" customWidth="1"/>
    <col min="5684" max="5684" width="8.5703125" style="2" customWidth="1"/>
    <col min="5685" max="5685" width="9.140625" style="2" customWidth="1"/>
    <col min="5686" max="5686" width="10.140625" style="2" customWidth="1"/>
    <col min="5687" max="5687" width="10.42578125" style="2" customWidth="1"/>
    <col min="5688" max="5689" width="7.85546875" style="2" customWidth="1"/>
    <col min="5690" max="5690" width="8.28515625" style="2" customWidth="1"/>
    <col min="5691" max="5691" width="10.42578125" style="2" customWidth="1"/>
    <col min="5692" max="5693" width="7.85546875" style="2" customWidth="1"/>
    <col min="5694" max="5694" width="8.28515625" style="2" customWidth="1"/>
    <col min="5695" max="5695" width="10.42578125" style="2" customWidth="1"/>
    <col min="5696" max="5696" width="8.5703125" style="2" customWidth="1"/>
    <col min="5697" max="5697" width="8.85546875" style="2" customWidth="1"/>
    <col min="5698" max="5698" width="8.7109375" style="2" customWidth="1"/>
    <col min="5699" max="5699" width="7.140625" style="2" bestFit="1" customWidth="1"/>
    <col min="5700" max="5700" width="7.7109375" style="2" bestFit="1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8.85546875" style="2" customWidth="1"/>
    <col min="5705" max="5705" width="9.42578125" style="2" customWidth="1"/>
    <col min="5706" max="5707" width="7.7109375" style="2" bestFit="1" customWidth="1"/>
    <col min="5708" max="5708" width="8.85546875" style="2" customWidth="1"/>
    <col min="5709" max="5709" width="9.42578125" style="2" customWidth="1"/>
    <col min="5710" max="5711" width="7.7109375" style="2" bestFit="1" customWidth="1"/>
    <col min="5712" max="5712" width="9.140625" style="2" customWidth="1"/>
    <col min="5713" max="5713" width="10" style="2" customWidth="1"/>
    <col min="5714" max="5714" width="9.5703125" style="2" customWidth="1"/>
    <col min="5715" max="5715" width="9.28515625" style="2" bestFit="1" customWidth="1"/>
    <col min="5716" max="5716" width="9.28515625" style="2" customWidth="1"/>
    <col min="5717" max="5717" width="9.28515625" style="2" bestFit="1" customWidth="1"/>
    <col min="5718" max="5718" width="10.28515625" style="2" customWidth="1"/>
    <col min="5719" max="5719" width="7.7109375" style="2" bestFit="1" customWidth="1"/>
    <col min="5720" max="5720" width="8" style="2" customWidth="1"/>
    <col min="5721" max="5721" width="8.5703125" style="2" customWidth="1"/>
    <col min="5722" max="5722" width="9.7109375" style="2" customWidth="1"/>
    <col min="5723" max="5723" width="9.42578125" style="2" customWidth="1"/>
    <col min="5724" max="5724" width="9.140625" style="2" customWidth="1"/>
    <col min="5725" max="5725" width="11.42578125" style="2" customWidth="1"/>
    <col min="5726" max="5726" width="12.5703125" style="2" customWidth="1"/>
    <col min="5727" max="5727" width="10.28515625" style="2" customWidth="1"/>
    <col min="5728" max="5728" width="7.7109375" style="2" bestFit="1" customWidth="1"/>
    <col min="5729" max="5729" width="8.28515625" style="2" bestFit="1" customWidth="1"/>
    <col min="5730" max="5731" width="7.7109375" style="2" bestFit="1" customWidth="1"/>
    <col min="5732" max="5732" width="6.5703125" style="2" bestFit="1" customWidth="1"/>
    <col min="5733" max="5733" width="8.28515625" style="2" bestFit="1" customWidth="1"/>
    <col min="5734" max="5734" width="6.5703125" style="2" bestFit="1" customWidth="1"/>
    <col min="5735" max="5735" width="7.140625" style="2" bestFit="1" customWidth="1"/>
    <col min="5736" max="5736" width="7.7109375" style="2" bestFit="1" customWidth="1"/>
    <col min="5737" max="5737" width="8.28515625" style="2" bestFit="1" customWidth="1"/>
    <col min="5738" max="5740" width="7.7109375" style="2" bestFit="1" customWidth="1"/>
    <col min="5741" max="5741" width="8.28515625" style="2" bestFit="1" customWidth="1"/>
    <col min="5742" max="5743" width="7.7109375" style="2" bestFit="1" customWidth="1"/>
    <col min="5744" max="5745" width="9.85546875" style="2" customWidth="1"/>
    <col min="5746" max="5746" width="8.5703125" style="2" customWidth="1"/>
    <col min="5747" max="5748" width="8.85546875" style="2" customWidth="1"/>
    <col min="5749" max="5749" width="9.7109375" style="2" customWidth="1"/>
    <col min="5750" max="5750" width="8.5703125" style="2" customWidth="1"/>
    <col min="5751" max="5751" width="7.7109375" style="2" bestFit="1" customWidth="1"/>
    <col min="5752" max="5752" width="7.5703125" style="2" customWidth="1"/>
    <col min="5753" max="5753" width="8.28515625" style="2" bestFit="1" customWidth="1"/>
    <col min="5754" max="5754" width="8.28515625" style="2" customWidth="1"/>
    <col min="5755" max="5755" width="7.140625" style="2" bestFit="1" customWidth="1"/>
    <col min="5756" max="5756" width="9" style="2" customWidth="1"/>
    <col min="5757" max="5757" width="9.5703125" style="2" customWidth="1"/>
    <col min="5758" max="5758" width="9.7109375" style="2" customWidth="1"/>
    <col min="5759" max="5759" width="10.85546875" style="2" customWidth="1"/>
    <col min="5760" max="5760" width="10.42578125" style="2" customWidth="1"/>
    <col min="5761" max="5762" width="11.28515625" style="2" customWidth="1"/>
    <col min="5763" max="5763" width="11" style="2" customWidth="1"/>
    <col min="5764" max="5764" width="6.7109375" style="2" customWidth="1"/>
    <col min="5765" max="5767" width="9.85546875" style="2"/>
    <col min="5768" max="5768" width="13.140625" style="2" customWidth="1"/>
    <col min="5769" max="5845" width="9.85546875" style="2"/>
    <col min="5846" max="5846" width="27.5703125" style="2" customWidth="1"/>
    <col min="5847" max="5847" width="5.28515625" style="2" customWidth="1"/>
    <col min="5848" max="5849" width="9" style="2" customWidth="1"/>
    <col min="5850" max="5850" width="9.5703125" style="2" customWidth="1"/>
    <col min="5851" max="5851" width="9.7109375" style="2" customWidth="1"/>
    <col min="5852" max="5852" width="7.5703125" style="2" customWidth="1"/>
    <col min="5853" max="5853" width="10.42578125" style="2" customWidth="1"/>
    <col min="5854" max="5854" width="9.140625" style="2" bestFit="1" customWidth="1"/>
    <col min="5855" max="5855" width="7.28515625" style="2" customWidth="1"/>
    <col min="5856" max="5857" width="9.28515625" style="2" customWidth="1"/>
    <col min="5858" max="5858" width="9.5703125" style="2" customWidth="1"/>
    <col min="5859" max="5860" width="9" style="2" customWidth="1"/>
    <col min="5861" max="5861" width="8" style="2" customWidth="1"/>
    <col min="5862" max="5862" width="8.5703125" style="2" customWidth="1"/>
    <col min="5863" max="5863" width="8.28515625" style="2" customWidth="1"/>
    <col min="5864" max="5864" width="9.5703125" style="2" customWidth="1"/>
    <col min="5865" max="5865" width="8.42578125" style="2" customWidth="1"/>
    <col min="5866" max="5866" width="8.140625" style="2" customWidth="1"/>
    <col min="5867" max="5867" width="7.5703125" style="2" customWidth="1"/>
    <col min="5868" max="5868" width="9.140625" style="2" customWidth="1"/>
    <col min="5869" max="5869" width="9" style="2" customWidth="1"/>
    <col min="5870" max="5870" width="8.5703125" style="2" customWidth="1"/>
    <col min="5871" max="5871" width="7.85546875" style="2" customWidth="1"/>
    <col min="5872" max="5872" width="6.7109375" style="2" customWidth="1"/>
    <col min="5873" max="5873" width="5.7109375" style="2" customWidth="1"/>
    <col min="5874" max="5874" width="6.28515625" style="2" customWidth="1"/>
    <col min="5875" max="5875" width="6.5703125" style="2" customWidth="1"/>
    <col min="5876" max="5876" width="8.7109375" style="2" customWidth="1"/>
    <col min="5877" max="5877" width="9" style="2" customWidth="1"/>
    <col min="5878" max="5878" width="8.28515625" style="2" customWidth="1"/>
    <col min="5879" max="5879" width="8.42578125" style="2" customWidth="1"/>
    <col min="5880" max="5880" width="9.85546875" style="2" customWidth="1"/>
    <col min="5881" max="5881" width="10" style="2" customWidth="1"/>
    <col min="5882" max="5882" width="10.140625" style="2" customWidth="1"/>
    <col min="5883" max="5883" width="10.5703125" style="2" customWidth="1"/>
    <col min="5884" max="5884" width="8.140625" style="2" customWidth="1"/>
    <col min="5885" max="5885" width="7.85546875" style="2" customWidth="1"/>
    <col min="5886" max="5886" width="9" style="2" customWidth="1"/>
    <col min="5887" max="5887" width="10" style="2" customWidth="1"/>
    <col min="5888" max="5888" width="10.28515625" style="2" customWidth="1"/>
    <col min="5889" max="5889" width="10.140625" style="2" customWidth="1"/>
    <col min="5890" max="5890" width="10.5703125" style="2" customWidth="1"/>
    <col min="5891" max="5891" width="10.28515625" style="2" customWidth="1"/>
    <col min="5892" max="5892" width="9.7109375" style="2" customWidth="1"/>
    <col min="5893" max="5893" width="9.140625" style="2" bestFit="1" customWidth="1"/>
    <col min="5894" max="5894" width="9.28515625" style="2" customWidth="1"/>
    <col min="5895" max="5895" width="9" style="2" customWidth="1"/>
    <col min="5896" max="5896" width="8" style="2" customWidth="1"/>
    <col min="5897" max="5897" width="8.28515625" style="2" customWidth="1"/>
    <col min="5898" max="5898" width="7.85546875" style="2" customWidth="1"/>
    <col min="5899" max="5899" width="9" style="2" customWidth="1"/>
    <col min="5900" max="5900" width="8.42578125" style="2" customWidth="1"/>
    <col min="5901" max="5901" width="8.28515625" style="2" bestFit="1" customWidth="1"/>
    <col min="5902" max="5903" width="9" style="2" customWidth="1"/>
    <col min="5904" max="5904" width="7.140625" style="2" customWidth="1"/>
    <col min="5905" max="5905" width="9.140625" style="2" customWidth="1"/>
    <col min="5906" max="5906" width="7.7109375" style="2" customWidth="1"/>
    <col min="5907" max="5907" width="7.5703125" style="2" customWidth="1"/>
    <col min="5908" max="5908" width="10" style="2" customWidth="1"/>
    <col min="5909" max="5910" width="10.140625" style="2" bestFit="1" customWidth="1"/>
    <col min="5911" max="5911" width="12.7109375" style="2" bestFit="1" customWidth="1"/>
    <col min="5912" max="5912" width="9.140625" style="2" customWidth="1"/>
    <col min="5913" max="5913" width="9" style="2" customWidth="1"/>
    <col min="5914" max="5914" width="8.85546875" style="2" customWidth="1"/>
    <col min="5915" max="5915" width="10.42578125" style="2" customWidth="1"/>
    <col min="5916" max="5916" width="8.7109375" style="2" customWidth="1"/>
    <col min="5917" max="5917" width="8.140625" style="2" customWidth="1"/>
    <col min="5918" max="5918" width="7.7109375" style="2" customWidth="1"/>
    <col min="5919" max="5919" width="9.7109375" style="2" customWidth="1"/>
    <col min="5920" max="5920" width="6.5703125" style="2" bestFit="1" customWidth="1"/>
    <col min="5921" max="5922" width="7.5703125" style="2" customWidth="1"/>
    <col min="5923" max="5923" width="7.7109375" style="2" customWidth="1"/>
    <col min="5924" max="5925" width="9.28515625" style="2" bestFit="1" customWidth="1"/>
    <col min="5926" max="5926" width="9.5703125" style="2" customWidth="1"/>
    <col min="5927" max="5927" width="9.140625" style="2" customWidth="1"/>
    <col min="5928" max="5929" width="7.85546875" style="2" customWidth="1"/>
    <col min="5930" max="5930" width="9.42578125" style="2" customWidth="1"/>
    <col min="5931" max="5931" width="10" style="2" customWidth="1"/>
    <col min="5932" max="5932" width="6.42578125" style="2" customWidth="1"/>
    <col min="5933" max="5933" width="9" style="2" customWidth="1"/>
    <col min="5934" max="5934" width="8.85546875" style="2" customWidth="1"/>
    <col min="5935" max="5935" width="7.7109375" style="2" customWidth="1"/>
    <col min="5936" max="5936" width="9.7109375" style="2" customWidth="1"/>
    <col min="5937" max="5937" width="9.42578125" style="2" customWidth="1"/>
    <col min="5938" max="5938" width="9.85546875" style="2" customWidth="1"/>
    <col min="5939" max="5939" width="7.7109375" style="2" customWidth="1"/>
    <col min="5940" max="5940" width="8.5703125" style="2" customWidth="1"/>
    <col min="5941" max="5941" width="9.140625" style="2" customWidth="1"/>
    <col min="5942" max="5942" width="10.140625" style="2" customWidth="1"/>
    <col min="5943" max="5943" width="10.42578125" style="2" customWidth="1"/>
    <col min="5944" max="5945" width="7.85546875" style="2" customWidth="1"/>
    <col min="5946" max="5946" width="8.28515625" style="2" customWidth="1"/>
    <col min="5947" max="5947" width="10.42578125" style="2" customWidth="1"/>
    <col min="5948" max="5949" width="7.85546875" style="2" customWidth="1"/>
    <col min="5950" max="5950" width="8.28515625" style="2" customWidth="1"/>
    <col min="5951" max="5951" width="10.42578125" style="2" customWidth="1"/>
    <col min="5952" max="5952" width="8.5703125" style="2" customWidth="1"/>
    <col min="5953" max="5953" width="8.85546875" style="2" customWidth="1"/>
    <col min="5954" max="5954" width="8.7109375" style="2" customWidth="1"/>
    <col min="5955" max="5955" width="7.140625" style="2" bestFit="1" customWidth="1"/>
    <col min="5956" max="5956" width="7.7109375" style="2" bestFit="1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8.85546875" style="2" customWidth="1"/>
    <col min="5961" max="5961" width="9.42578125" style="2" customWidth="1"/>
    <col min="5962" max="5963" width="7.7109375" style="2" bestFit="1" customWidth="1"/>
    <col min="5964" max="5964" width="8.85546875" style="2" customWidth="1"/>
    <col min="5965" max="5965" width="9.42578125" style="2" customWidth="1"/>
    <col min="5966" max="5967" width="7.7109375" style="2" bestFit="1" customWidth="1"/>
    <col min="5968" max="5968" width="9.140625" style="2" customWidth="1"/>
    <col min="5969" max="5969" width="10" style="2" customWidth="1"/>
    <col min="5970" max="5970" width="9.5703125" style="2" customWidth="1"/>
    <col min="5971" max="5971" width="9.28515625" style="2" bestFit="1" customWidth="1"/>
    <col min="5972" max="5972" width="9.28515625" style="2" customWidth="1"/>
    <col min="5973" max="5973" width="9.28515625" style="2" bestFit="1" customWidth="1"/>
    <col min="5974" max="5974" width="10.28515625" style="2" customWidth="1"/>
    <col min="5975" max="5975" width="7.7109375" style="2" bestFit="1" customWidth="1"/>
    <col min="5976" max="5976" width="8" style="2" customWidth="1"/>
    <col min="5977" max="5977" width="8.5703125" style="2" customWidth="1"/>
    <col min="5978" max="5978" width="9.7109375" style="2" customWidth="1"/>
    <col min="5979" max="5979" width="9.42578125" style="2" customWidth="1"/>
    <col min="5980" max="5980" width="9.140625" style="2" customWidth="1"/>
    <col min="5981" max="5981" width="11.42578125" style="2" customWidth="1"/>
    <col min="5982" max="5982" width="12.5703125" style="2" customWidth="1"/>
    <col min="5983" max="5983" width="10.28515625" style="2" customWidth="1"/>
    <col min="5984" max="5984" width="7.7109375" style="2" bestFit="1" customWidth="1"/>
    <col min="5985" max="5985" width="8.28515625" style="2" bestFit="1" customWidth="1"/>
    <col min="5986" max="5987" width="7.7109375" style="2" bestFit="1" customWidth="1"/>
    <col min="5988" max="5988" width="6.5703125" style="2" bestFit="1" customWidth="1"/>
    <col min="5989" max="5989" width="8.28515625" style="2" bestFit="1" customWidth="1"/>
    <col min="5990" max="5990" width="6.5703125" style="2" bestFit="1" customWidth="1"/>
    <col min="5991" max="5991" width="7.140625" style="2" bestFit="1" customWidth="1"/>
    <col min="5992" max="5992" width="7.7109375" style="2" bestFit="1" customWidth="1"/>
    <col min="5993" max="5993" width="8.28515625" style="2" bestFit="1" customWidth="1"/>
    <col min="5994" max="5996" width="7.7109375" style="2" bestFit="1" customWidth="1"/>
    <col min="5997" max="5997" width="8.28515625" style="2" bestFit="1" customWidth="1"/>
    <col min="5998" max="5999" width="7.7109375" style="2" bestFit="1" customWidth="1"/>
    <col min="6000" max="6001" width="9.85546875" style="2" customWidth="1"/>
    <col min="6002" max="6002" width="8.5703125" style="2" customWidth="1"/>
    <col min="6003" max="6004" width="8.85546875" style="2" customWidth="1"/>
    <col min="6005" max="6005" width="9.7109375" style="2" customWidth="1"/>
    <col min="6006" max="6006" width="8.5703125" style="2" customWidth="1"/>
    <col min="6007" max="6007" width="7.7109375" style="2" bestFit="1" customWidth="1"/>
    <col min="6008" max="6008" width="7.5703125" style="2" customWidth="1"/>
    <col min="6009" max="6009" width="8.28515625" style="2" bestFit="1" customWidth="1"/>
    <col min="6010" max="6010" width="8.28515625" style="2" customWidth="1"/>
    <col min="6011" max="6011" width="7.140625" style="2" bestFit="1" customWidth="1"/>
    <col min="6012" max="6012" width="9" style="2" customWidth="1"/>
    <col min="6013" max="6013" width="9.5703125" style="2" customWidth="1"/>
    <col min="6014" max="6014" width="9.7109375" style="2" customWidth="1"/>
    <col min="6015" max="6015" width="10.85546875" style="2" customWidth="1"/>
    <col min="6016" max="6016" width="10.42578125" style="2" customWidth="1"/>
    <col min="6017" max="6018" width="11.28515625" style="2" customWidth="1"/>
    <col min="6019" max="6019" width="11" style="2" customWidth="1"/>
    <col min="6020" max="6020" width="6.7109375" style="2" customWidth="1"/>
    <col min="6021" max="6023" width="9.85546875" style="2"/>
    <col min="6024" max="6024" width="13.140625" style="2" customWidth="1"/>
    <col min="6025" max="6101" width="9.85546875" style="2"/>
    <col min="6102" max="6102" width="27.5703125" style="2" customWidth="1"/>
    <col min="6103" max="6103" width="5.28515625" style="2" customWidth="1"/>
    <col min="6104" max="6105" width="9" style="2" customWidth="1"/>
    <col min="6106" max="6106" width="9.5703125" style="2" customWidth="1"/>
    <col min="6107" max="6107" width="9.7109375" style="2" customWidth="1"/>
    <col min="6108" max="6108" width="7.5703125" style="2" customWidth="1"/>
    <col min="6109" max="6109" width="10.42578125" style="2" customWidth="1"/>
    <col min="6110" max="6110" width="9.140625" style="2" bestFit="1" customWidth="1"/>
    <col min="6111" max="6111" width="7.28515625" style="2" customWidth="1"/>
    <col min="6112" max="6113" width="9.28515625" style="2" customWidth="1"/>
    <col min="6114" max="6114" width="9.5703125" style="2" customWidth="1"/>
    <col min="6115" max="6116" width="9" style="2" customWidth="1"/>
    <col min="6117" max="6117" width="8" style="2" customWidth="1"/>
    <col min="6118" max="6118" width="8.5703125" style="2" customWidth="1"/>
    <col min="6119" max="6119" width="8.28515625" style="2" customWidth="1"/>
    <col min="6120" max="6120" width="9.5703125" style="2" customWidth="1"/>
    <col min="6121" max="6121" width="8.42578125" style="2" customWidth="1"/>
    <col min="6122" max="6122" width="8.140625" style="2" customWidth="1"/>
    <col min="6123" max="6123" width="7.5703125" style="2" customWidth="1"/>
    <col min="6124" max="6124" width="9.140625" style="2" customWidth="1"/>
    <col min="6125" max="6125" width="9" style="2" customWidth="1"/>
    <col min="6126" max="6126" width="8.5703125" style="2" customWidth="1"/>
    <col min="6127" max="6127" width="7.85546875" style="2" customWidth="1"/>
    <col min="6128" max="6128" width="6.7109375" style="2" customWidth="1"/>
    <col min="6129" max="6129" width="5.7109375" style="2" customWidth="1"/>
    <col min="6130" max="6130" width="6.28515625" style="2" customWidth="1"/>
    <col min="6131" max="6131" width="6.5703125" style="2" customWidth="1"/>
    <col min="6132" max="6132" width="8.7109375" style="2" customWidth="1"/>
    <col min="6133" max="6133" width="9" style="2" customWidth="1"/>
    <col min="6134" max="6134" width="8.28515625" style="2" customWidth="1"/>
    <col min="6135" max="6135" width="8.42578125" style="2" customWidth="1"/>
    <col min="6136" max="6136" width="9.85546875" style="2" customWidth="1"/>
    <col min="6137" max="6137" width="10" style="2" customWidth="1"/>
    <col min="6138" max="6138" width="10.140625" style="2" customWidth="1"/>
    <col min="6139" max="6139" width="10.5703125" style="2" customWidth="1"/>
    <col min="6140" max="6140" width="8.140625" style="2" customWidth="1"/>
    <col min="6141" max="6141" width="7.85546875" style="2" customWidth="1"/>
    <col min="6142" max="6142" width="9" style="2" customWidth="1"/>
    <col min="6143" max="6143" width="10" style="2" customWidth="1"/>
    <col min="6144" max="6144" width="10.28515625" style="2" customWidth="1"/>
    <col min="6145" max="6145" width="10.140625" style="2" customWidth="1"/>
    <col min="6146" max="6146" width="10.5703125" style="2" customWidth="1"/>
    <col min="6147" max="6147" width="10.28515625" style="2" customWidth="1"/>
    <col min="6148" max="6148" width="9.7109375" style="2" customWidth="1"/>
    <col min="6149" max="6149" width="9.140625" style="2" bestFit="1" customWidth="1"/>
    <col min="6150" max="6150" width="9.28515625" style="2" customWidth="1"/>
    <col min="6151" max="6151" width="9" style="2" customWidth="1"/>
    <col min="6152" max="6152" width="8" style="2" customWidth="1"/>
    <col min="6153" max="6153" width="8.28515625" style="2" customWidth="1"/>
    <col min="6154" max="6154" width="7.85546875" style="2" customWidth="1"/>
    <col min="6155" max="6155" width="9" style="2" customWidth="1"/>
    <col min="6156" max="6156" width="8.42578125" style="2" customWidth="1"/>
    <col min="6157" max="6157" width="8.28515625" style="2" bestFit="1" customWidth="1"/>
    <col min="6158" max="6159" width="9" style="2" customWidth="1"/>
    <col min="6160" max="6160" width="7.140625" style="2" customWidth="1"/>
    <col min="6161" max="6161" width="9.140625" style="2" customWidth="1"/>
    <col min="6162" max="6162" width="7.7109375" style="2" customWidth="1"/>
    <col min="6163" max="6163" width="7.5703125" style="2" customWidth="1"/>
    <col min="6164" max="6164" width="10" style="2" customWidth="1"/>
    <col min="6165" max="6166" width="10.140625" style="2" bestFit="1" customWidth="1"/>
    <col min="6167" max="6167" width="12.7109375" style="2" bestFit="1" customWidth="1"/>
    <col min="6168" max="6168" width="9.140625" style="2" customWidth="1"/>
    <col min="6169" max="6169" width="9" style="2" customWidth="1"/>
    <col min="6170" max="6170" width="8.85546875" style="2" customWidth="1"/>
    <col min="6171" max="6171" width="10.42578125" style="2" customWidth="1"/>
    <col min="6172" max="6172" width="8.7109375" style="2" customWidth="1"/>
    <col min="6173" max="6173" width="8.140625" style="2" customWidth="1"/>
    <col min="6174" max="6174" width="7.7109375" style="2" customWidth="1"/>
    <col min="6175" max="6175" width="9.7109375" style="2" customWidth="1"/>
    <col min="6176" max="6176" width="6.5703125" style="2" bestFit="1" customWidth="1"/>
    <col min="6177" max="6178" width="7.5703125" style="2" customWidth="1"/>
    <col min="6179" max="6179" width="7.7109375" style="2" customWidth="1"/>
    <col min="6180" max="6181" width="9.28515625" style="2" bestFit="1" customWidth="1"/>
    <col min="6182" max="6182" width="9.5703125" style="2" customWidth="1"/>
    <col min="6183" max="6183" width="9.140625" style="2" customWidth="1"/>
    <col min="6184" max="6185" width="7.85546875" style="2" customWidth="1"/>
    <col min="6186" max="6186" width="9.42578125" style="2" customWidth="1"/>
    <col min="6187" max="6187" width="10" style="2" customWidth="1"/>
    <col min="6188" max="6188" width="6.42578125" style="2" customWidth="1"/>
    <col min="6189" max="6189" width="9" style="2" customWidth="1"/>
    <col min="6190" max="6190" width="8.85546875" style="2" customWidth="1"/>
    <col min="6191" max="6191" width="7.7109375" style="2" customWidth="1"/>
    <col min="6192" max="6192" width="9.7109375" style="2" customWidth="1"/>
    <col min="6193" max="6193" width="9.42578125" style="2" customWidth="1"/>
    <col min="6194" max="6194" width="9.85546875" style="2" customWidth="1"/>
    <col min="6195" max="6195" width="7.7109375" style="2" customWidth="1"/>
    <col min="6196" max="6196" width="8.5703125" style="2" customWidth="1"/>
    <col min="6197" max="6197" width="9.140625" style="2" customWidth="1"/>
    <col min="6198" max="6198" width="10.140625" style="2" customWidth="1"/>
    <col min="6199" max="6199" width="10.42578125" style="2" customWidth="1"/>
    <col min="6200" max="6201" width="7.85546875" style="2" customWidth="1"/>
    <col min="6202" max="6202" width="8.28515625" style="2" customWidth="1"/>
    <col min="6203" max="6203" width="10.42578125" style="2" customWidth="1"/>
    <col min="6204" max="6205" width="7.85546875" style="2" customWidth="1"/>
    <col min="6206" max="6206" width="8.28515625" style="2" customWidth="1"/>
    <col min="6207" max="6207" width="10.42578125" style="2" customWidth="1"/>
    <col min="6208" max="6208" width="8.5703125" style="2" customWidth="1"/>
    <col min="6209" max="6209" width="8.85546875" style="2" customWidth="1"/>
    <col min="6210" max="6210" width="8.7109375" style="2" customWidth="1"/>
    <col min="6211" max="6211" width="7.140625" style="2" bestFit="1" customWidth="1"/>
    <col min="6212" max="6212" width="7.7109375" style="2" bestFit="1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8.85546875" style="2" customWidth="1"/>
    <col min="6217" max="6217" width="9.42578125" style="2" customWidth="1"/>
    <col min="6218" max="6219" width="7.7109375" style="2" bestFit="1" customWidth="1"/>
    <col min="6220" max="6220" width="8.85546875" style="2" customWidth="1"/>
    <col min="6221" max="6221" width="9.42578125" style="2" customWidth="1"/>
    <col min="6222" max="6223" width="7.7109375" style="2" bestFit="1" customWidth="1"/>
    <col min="6224" max="6224" width="9.140625" style="2" customWidth="1"/>
    <col min="6225" max="6225" width="10" style="2" customWidth="1"/>
    <col min="6226" max="6226" width="9.5703125" style="2" customWidth="1"/>
    <col min="6227" max="6227" width="9.28515625" style="2" bestFit="1" customWidth="1"/>
    <col min="6228" max="6228" width="9.28515625" style="2" customWidth="1"/>
    <col min="6229" max="6229" width="9.28515625" style="2" bestFit="1" customWidth="1"/>
    <col min="6230" max="6230" width="10.28515625" style="2" customWidth="1"/>
    <col min="6231" max="6231" width="7.7109375" style="2" bestFit="1" customWidth="1"/>
    <col min="6232" max="6232" width="8" style="2" customWidth="1"/>
    <col min="6233" max="6233" width="8.5703125" style="2" customWidth="1"/>
    <col min="6234" max="6234" width="9.7109375" style="2" customWidth="1"/>
    <col min="6235" max="6235" width="9.42578125" style="2" customWidth="1"/>
    <col min="6236" max="6236" width="9.140625" style="2" customWidth="1"/>
    <col min="6237" max="6237" width="11.42578125" style="2" customWidth="1"/>
    <col min="6238" max="6238" width="12.5703125" style="2" customWidth="1"/>
    <col min="6239" max="6239" width="10.28515625" style="2" customWidth="1"/>
    <col min="6240" max="6240" width="7.7109375" style="2" bestFit="1" customWidth="1"/>
    <col min="6241" max="6241" width="8.28515625" style="2" bestFit="1" customWidth="1"/>
    <col min="6242" max="6243" width="7.7109375" style="2" bestFit="1" customWidth="1"/>
    <col min="6244" max="6244" width="6.5703125" style="2" bestFit="1" customWidth="1"/>
    <col min="6245" max="6245" width="8.28515625" style="2" bestFit="1" customWidth="1"/>
    <col min="6246" max="6246" width="6.5703125" style="2" bestFit="1" customWidth="1"/>
    <col min="6247" max="6247" width="7.140625" style="2" bestFit="1" customWidth="1"/>
    <col min="6248" max="6248" width="7.7109375" style="2" bestFit="1" customWidth="1"/>
    <col min="6249" max="6249" width="8.28515625" style="2" bestFit="1" customWidth="1"/>
    <col min="6250" max="6252" width="7.7109375" style="2" bestFit="1" customWidth="1"/>
    <col min="6253" max="6253" width="8.28515625" style="2" bestFit="1" customWidth="1"/>
    <col min="6254" max="6255" width="7.7109375" style="2" bestFit="1" customWidth="1"/>
    <col min="6256" max="6257" width="9.85546875" style="2" customWidth="1"/>
    <col min="6258" max="6258" width="8.5703125" style="2" customWidth="1"/>
    <col min="6259" max="6260" width="8.85546875" style="2" customWidth="1"/>
    <col min="6261" max="6261" width="9.7109375" style="2" customWidth="1"/>
    <col min="6262" max="6262" width="8.5703125" style="2" customWidth="1"/>
    <col min="6263" max="6263" width="7.7109375" style="2" bestFit="1" customWidth="1"/>
    <col min="6264" max="6264" width="7.5703125" style="2" customWidth="1"/>
    <col min="6265" max="6265" width="8.28515625" style="2" bestFit="1" customWidth="1"/>
    <col min="6266" max="6266" width="8.28515625" style="2" customWidth="1"/>
    <col min="6267" max="6267" width="7.140625" style="2" bestFit="1" customWidth="1"/>
    <col min="6268" max="6268" width="9" style="2" customWidth="1"/>
    <col min="6269" max="6269" width="9.5703125" style="2" customWidth="1"/>
    <col min="6270" max="6270" width="9.7109375" style="2" customWidth="1"/>
    <col min="6271" max="6271" width="10.85546875" style="2" customWidth="1"/>
    <col min="6272" max="6272" width="10.42578125" style="2" customWidth="1"/>
    <col min="6273" max="6274" width="11.28515625" style="2" customWidth="1"/>
    <col min="6275" max="6275" width="11" style="2" customWidth="1"/>
    <col min="6276" max="6276" width="6.7109375" style="2" customWidth="1"/>
    <col min="6277" max="6279" width="9.85546875" style="2"/>
    <col min="6280" max="6280" width="13.140625" style="2" customWidth="1"/>
    <col min="6281" max="6357" width="9.85546875" style="2"/>
    <col min="6358" max="6358" width="27.5703125" style="2" customWidth="1"/>
    <col min="6359" max="6359" width="5.28515625" style="2" customWidth="1"/>
    <col min="6360" max="6361" width="9" style="2" customWidth="1"/>
    <col min="6362" max="6362" width="9.5703125" style="2" customWidth="1"/>
    <col min="6363" max="6363" width="9.7109375" style="2" customWidth="1"/>
    <col min="6364" max="6364" width="7.5703125" style="2" customWidth="1"/>
    <col min="6365" max="6365" width="10.42578125" style="2" customWidth="1"/>
    <col min="6366" max="6366" width="9.140625" style="2" bestFit="1" customWidth="1"/>
    <col min="6367" max="6367" width="7.28515625" style="2" customWidth="1"/>
    <col min="6368" max="6369" width="9.28515625" style="2" customWidth="1"/>
    <col min="6370" max="6370" width="9.5703125" style="2" customWidth="1"/>
    <col min="6371" max="6372" width="9" style="2" customWidth="1"/>
    <col min="6373" max="6373" width="8" style="2" customWidth="1"/>
    <col min="6374" max="6374" width="8.5703125" style="2" customWidth="1"/>
    <col min="6375" max="6375" width="8.28515625" style="2" customWidth="1"/>
    <col min="6376" max="6376" width="9.5703125" style="2" customWidth="1"/>
    <col min="6377" max="6377" width="8.42578125" style="2" customWidth="1"/>
    <col min="6378" max="6378" width="8.140625" style="2" customWidth="1"/>
    <col min="6379" max="6379" width="7.5703125" style="2" customWidth="1"/>
    <col min="6380" max="6380" width="9.140625" style="2" customWidth="1"/>
    <col min="6381" max="6381" width="9" style="2" customWidth="1"/>
    <col min="6382" max="6382" width="8.5703125" style="2" customWidth="1"/>
    <col min="6383" max="6383" width="7.85546875" style="2" customWidth="1"/>
    <col min="6384" max="6384" width="6.7109375" style="2" customWidth="1"/>
    <col min="6385" max="6385" width="5.7109375" style="2" customWidth="1"/>
    <col min="6386" max="6386" width="6.28515625" style="2" customWidth="1"/>
    <col min="6387" max="6387" width="6.5703125" style="2" customWidth="1"/>
    <col min="6388" max="6388" width="8.7109375" style="2" customWidth="1"/>
    <col min="6389" max="6389" width="9" style="2" customWidth="1"/>
    <col min="6390" max="6390" width="8.28515625" style="2" customWidth="1"/>
    <col min="6391" max="6391" width="8.42578125" style="2" customWidth="1"/>
    <col min="6392" max="6392" width="9.85546875" style="2" customWidth="1"/>
    <col min="6393" max="6393" width="10" style="2" customWidth="1"/>
    <col min="6394" max="6394" width="10.140625" style="2" customWidth="1"/>
    <col min="6395" max="6395" width="10.5703125" style="2" customWidth="1"/>
    <col min="6396" max="6396" width="8.140625" style="2" customWidth="1"/>
    <col min="6397" max="6397" width="7.85546875" style="2" customWidth="1"/>
    <col min="6398" max="6398" width="9" style="2" customWidth="1"/>
    <col min="6399" max="6399" width="10" style="2" customWidth="1"/>
    <col min="6400" max="6400" width="10.28515625" style="2" customWidth="1"/>
    <col min="6401" max="6401" width="10.140625" style="2" customWidth="1"/>
    <col min="6402" max="6402" width="10.5703125" style="2" customWidth="1"/>
    <col min="6403" max="6403" width="10.28515625" style="2" customWidth="1"/>
    <col min="6404" max="6404" width="9.7109375" style="2" customWidth="1"/>
    <col min="6405" max="6405" width="9.140625" style="2" bestFit="1" customWidth="1"/>
    <col min="6406" max="6406" width="9.28515625" style="2" customWidth="1"/>
    <col min="6407" max="6407" width="9" style="2" customWidth="1"/>
    <col min="6408" max="6408" width="8" style="2" customWidth="1"/>
    <col min="6409" max="6409" width="8.28515625" style="2" customWidth="1"/>
    <col min="6410" max="6410" width="7.85546875" style="2" customWidth="1"/>
    <col min="6411" max="6411" width="9" style="2" customWidth="1"/>
    <col min="6412" max="6412" width="8.42578125" style="2" customWidth="1"/>
    <col min="6413" max="6413" width="8.28515625" style="2" bestFit="1" customWidth="1"/>
    <col min="6414" max="6415" width="9" style="2" customWidth="1"/>
    <col min="6416" max="6416" width="7.140625" style="2" customWidth="1"/>
    <col min="6417" max="6417" width="9.140625" style="2" customWidth="1"/>
    <col min="6418" max="6418" width="7.7109375" style="2" customWidth="1"/>
    <col min="6419" max="6419" width="7.5703125" style="2" customWidth="1"/>
    <col min="6420" max="6420" width="10" style="2" customWidth="1"/>
    <col min="6421" max="6422" width="10.140625" style="2" bestFit="1" customWidth="1"/>
    <col min="6423" max="6423" width="12.7109375" style="2" bestFit="1" customWidth="1"/>
    <col min="6424" max="6424" width="9.140625" style="2" customWidth="1"/>
    <col min="6425" max="6425" width="9" style="2" customWidth="1"/>
    <col min="6426" max="6426" width="8.85546875" style="2" customWidth="1"/>
    <col min="6427" max="6427" width="10.42578125" style="2" customWidth="1"/>
    <col min="6428" max="6428" width="8.7109375" style="2" customWidth="1"/>
    <col min="6429" max="6429" width="8.140625" style="2" customWidth="1"/>
    <col min="6430" max="6430" width="7.7109375" style="2" customWidth="1"/>
    <col min="6431" max="6431" width="9.7109375" style="2" customWidth="1"/>
    <col min="6432" max="6432" width="6.5703125" style="2" bestFit="1" customWidth="1"/>
    <col min="6433" max="6434" width="7.5703125" style="2" customWidth="1"/>
    <col min="6435" max="6435" width="7.7109375" style="2" customWidth="1"/>
    <col min="6436" max="6437" width="9.28515625" style="2" bestFit="1" customWidth="1"/>
    <col min="6438" max="6438" width="9.5703125" style="2" customWidth="1"/>
    <col min="6439" max="6439" width="9.140625" style="2" customWidth="1"/>
    <col min="6440" max="6441" width="7.85546875" style="2" customWidth="1"/>
    <col min="6442" max="6442" width="9.42578125" style="2" customWidth="1"/>
    <col min="6443" max="6443" width="10" style="2" customWidth="1"/>
    <col min="6444" max="6444" width="6.42578125" style="2" customWidth="1"/>
    <col min="6445" max="6445" width="9" style="2" customWidth="1"/>
    <col min="6446" max="6446" width="8.85546875" style="2" customWidth="1"/>
    <col min="6447" max="6447" width="7.7109375" style="2" customWidth="1"/>
    <col min="6448" max="6448" width="9.7109375" style="2" customWidth="1"/>
    <col min="6449" max="6449" width="9.42578125" style="2" customWidth="1"/>
    <col min="6450" max="6450" width="9.85546875" style="2" customWidth="1"/>
    <col min="6451" max="6451" width="7.7109375" style="2" customWidth="1"/>
    <col min="6452" max="6452" width="8.5703125" style="2" customWidth="1"/>
    <col min="6453" max="6453" width="9.140625" style="2" customWidth="1"/>
    <col min="6454" max="6454" width="10.140625" style="2" customWidth="1"/>
    <col min="6455" max="6455" width="10.42578125" style="2" customWidth="1"/>
    <col min="6456" max="6457" width="7.85546875" style="2" customWidth="1"/>
    <col min="6458" max="6458" width="8.28515625" style="2" customWidth="1"/>
    <col min="6459" max="6459" width="10.42578125" style="2" customWidth="1"/>
    <col min="6460" max="6461" width="7.85546875" style="2" customWidth="1"/>
    <col min="6462" max="6462" width="8.28515625" style="2" customWidth="1"/>
    <col min="6463" max="6463" width="10.42578125" style="2" customWidth="1"/>
    <col min="6464" max="6464" width="8.5703125" style="2" customWidth="1"/>
    <col min="6465" max="6465" width="8.85546875" style="2" customWidth="1"/>
    <col min="6466" max="6466" width="8.7109375" style="2" customWidth="1"/>
    <col min="6467" max="6467" width="7.140625" style="2" bestFit="1" customWidth="1"/>
    <col min="6468" max="6468" width="7.7109375" style="2" bestFit="1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8.85546875" style="2" customWidth="1"/>
    <col min="6473" max="6473" width="9.42578125" style="2" customWidth="1"/>
    <col min="6474" max="6475" width="7.7109375" style="2" bestFit="1" customWidth="1"/>
    <col min="6476" max="6476" width="8.85546875" style="2" customWidth="1"/>
    <col min="6477" max="6477" width="9.42578125" style="2" customWidth="1"/>
    <col min="6478" max="6479" width="7.7109375" style="2" bestFit="1" customWidth="1"/>
    <col min="6480" max="6480" width="9.140625" style="2" customWidth="1"/>
    <col min="6481" max="6481" width="10" style="2" customWidth="1"/>
    <col min="6482" max="6482" width="9.5703125" style="2" customWidth="1"/>
    <col min="6483" max="6483" width="9.28515625" style="2" bestFit="1" customWidth="1"/>
    <col min="6484" max="6484" width="9.28515625" style="2" customWidth="1"/>
    <col min="6485" max="6485" width="9.28515625" style="2" bestFit="1" customWidth="1"/>
    <col min="6486" max="6486" width="10.28515625" style="2" customWidth="1"/>
    <col min="6487" max="6487" width="7.7109375" style="2" bestFit="1" customWidth="1"/>
    <col min="6488" max="6488" width="8" style="2" customWidth="1"/>
    <col min="6489" max="6489" width="8.5703125" style="2" customWidth="1"/>
    <col min="6490" max="6490" width="9.7109375" style="2" customWidth="1"/>
    <col min="6491" max="6491" width="9.42578125" style="2" customWidth="1"/>
    <col min="6492" max="6492" width="9.140625" style="2" customWidth="1"/>
    <col min="6493" max="6493" width="11.42578125" style="2" customWidth="1"/>
    <col min="6494" max="6494" width="12.5703125" style="2" customWidth="1"/>
    <col min="6495" max="6495" width="10.28515625" style="2" customWidth="1"/>
    <col min="6496" max="6496" width="7.7109375" style="2" bestFit="1" customWidth="1"/>
    <col min="6497" max="6497" width="8.28515625" style="2" bestFit="1" customWidth="1"/>
    <col min="6498" max="6499" width="7.7109375" style="2" bestFit="1" customWidth="1"/>
    <col min="6500" max="6500" width="6.5703125" style="2" bestFit="1" customWidth="1"/>
    <col min="6501" max="6501" width="8.28515625" style="2" bestFit="1" customWidth="1"/>
    <col min="6502" max="6502" width="6.5703125" style="2" bestFit="1" customWidth="1"/>
    <col min="6503" max="6503" width="7.140625" style="2" bestFit="1" customWidth="1"/>
    <col min="6504" max="6504" width="7.7109375" style="2" bestFit="1" customWidth="1"/>
    <col min="6505" max="6505" width="8.28515625" style="2" bestFit="1" customWidth="1"/>
    <col min="6506" max="6508" width="7.7109375" style="2" bestFit="1" customWidth="1"/>
    <col min="6509" max="6509" width="8.28515625" style="2" bestFit="1" customWidth="1"/>
    <col min="6510" max="6511" width="7.7109375" style="2" bestFit="1" customWidth="1"/>
    <col min="6512" max="6513" width="9.85546875" style="2" customWidth="1"/>
    <col min="6514" max="6514" width="8.5703125" style="2" customWidth="1"/>
    <col min="6515" max="6516" width="8.85546875" style="2" customWidth="1"/>
    <col min="6517" max="6517" width="9.7109375" style="2" customWidth="1"/>
    <col min="6518" max="6518" width="8.5703125" style="2" customWidth="1"/>
    <col min="6519" max="6519" width="7.7109375" style="2" bestFit="1" customWidth="1"/>
    <col min="6520" max="6520" width="7.5703125" style="2" customWidth="1"/>
    <col min="6521" max="6521" width="8.28515625" style="2" bestFit="1" customWidth="1"/>
    <col min="6522" max="6522" width="8.28515625" style="2" customWidth="1"/>
    <col min="6523" max="6523" width="7.140625" style="2" bestFit="1" customWidth="1"/>
    <col min="6524" max="6524" width="9" style="2" customWidth="1"/>
    <col min="6525" max="6525" width="9.5703125" style="2" customWidth="1"/>
    <col min="6526" max="6526" width="9.7109375" style="2" customWidth="1"/>
    <col min="6527" max="6527" width="10.85546875" style="2" customWidth="1"/>
    <col min="6528" max="6528" width="10.42578125" style="2" customWidth="1"/>
    <col min="6529" max="6530" width="11.28515625" style="2" customWidth="1"/>
    <col min="6531" max="6531" width="11" style="2" customWidth="1"/>
    <col min="6532" max="6532" width="6.7109375" style="2" customWidth="1"/>
    <col min="6533" max="6535" width="9.85546875" style="2"/>
    <col min="6536" max="6536" width="13.140625" style="2" customWidth="1"/>
    <col min="6537" max="6613" width="9.85546875" style="2"/>
    <col min="6614" max="6614" width="27.5703125" style="2" customWidth="1"/>
    <col min="6615" max="6615" width="5.28515625" style="2" customWidth="1"/>
    <col min="6616" max="6617" width="9" style="2" customWidth="1"/>
    <col min="6618" max="6618" width="9.5703125" style="2" customWidth="1"/>
    <col min="6619" max="6619" width="9.7109375" style="2" customWidth="1"/>
    <col min="6620" max="6620" width="7.5703125" style="2" customWidth="1"/>
    <col min="6621" max="6621" width="10.42578125" style="2" customWidth="1"/>
    <col min="6622" max="6622" width="9.140625" style="2" bestFit="1" customWidth="1"/>
    <col min="6623" max="6623" width="7.28515625" style="2" customWidth="1"/>
    <col min="6624" max="6625" width="9.28515625" style="2" customWidth="1"/>
    <col min="6626" max="6626" width="9.5703125" style="2" customWidth="1"/>
    <col min="6627" max="6628" width="9" style="2" customWidth="1"/>
    <col min="6629" max="6629" width="8" style="2" customWidth="1"/>
    <col min="6630" max="6630" width="8.5703125" style="2" customWidth="1"/>
    <col min="6631" max="6631" width="8.28515625" style="2" customWidth="1"/>
    <col min="6632" max="6632" width="9.5703125" style="2" customWidth="1"/>
    <col min="6633" max="6633" width="8.42578125" style="2" customWidth="1"/>
    <col min="6634" max="6634" width="8.140625" style="2" customWidth="1"/>
    <col min="6635" max="6635" width="7.5703125" style="2" customWidth="1"/>
    <col min="6636" max="6636" width="9.140625" style="2" customWidth="1"/>
    <col min="6637" max="6637" width="9" style="2" customWidth="1"/>
    <col min="6638" max="6638" width="8.5703125" style="2" customWidth="1"/>
    <col min="6639" max="6639" width="7.85546875" style="2" customWidth="1"/>
    <col min="6640" max="6640" width="6.7109375" style="2" customWidth="1"/>
    <col min="6641" max="6641" width="5.7109375" style="2" customWidth="1"/>
    <col min="6642" max="6642" width="6.28515625" style="2" customWidth="1"/>
    <col min="6643" max="6643" width="6.5703125" style="2" customWidth="1"/>
    <col min="6644" max="6644" width="8.7109375" style="2" customWidth="1"/>
    <col min="6645" max="6645" width="9" style="2" customWidth="1"/>
    <col min="6646" max="6646" width="8.28515625" style="2" customWidth="1"/>
    <col min="6647" max="6647" width="8.42578125" style="2" customWidth="1"/>
    <col min="6648" max="6648" width="9.85546875" style="2" customWidth="1"/>
    <col min="6649" max="6649" width="10" style="2" customWidth="1"/>
    <col min="6650" max="6650" width="10.140625" style="2" customWidth="1"/>
    <col min="6651" max="6651" width="10.5703125" style="2" customWidth="1"/>
    <col min="6652" max="6652" width="8.140625" style="2" customWidth="1"/>
    <col min="6653" max="6653" width="7.85546875" style="2" customWidth="1"/>
    <col min="6654" max="6654" width="9" style="2" customWidth="1"/>
    <col min="6655" max="6655" width="10" style="2" customWidth="1"/>
    <col min="6656" max="6656" width="10.28515625" style="2" customWidth="1"/>
    <col min="6657" max="6657" width="10.140625" style="2" customWidth="1"/>
    <col min="6658" max="6658" width="10.5703125" style="2" customWidth="1"/>
    <col min="6659" max="6659" width="10.28515625" style="2" customWidth="1"/>
    <col min="6660" max="6660" width="9.7109375" style="2" customWidth="1"/>
    <col min="6661" max="6661" width="9.140625" style="2" bestFit="1" customWidth="1"/>
    <col min="6662" max="6662" width="9.28515625" style="2" customWidth="1"/>
    <col min="6663" max="6663" width="9" style="2" customWidth="1"/>
    <col min="6664" max="6664" width="8" style="2" customWidth="1"/>
    <col min="6665" max="6665" width="8.28515625" style="2" customWidth="1"/>
    <col min="6666" max="6666" width="7.85546875" style="2" customWidth="1"/>
    <col min="6667" max="6667" width="9" style="2" customWidth="1"/>
    <col min="6668" max="6668" width="8.42578125" style="2" customWidth="1"/>
    <col min="6669" max="6669" width="8.28515625" style="2" bestFit="1" customWidth="1"/>
    <col min="6670" max="6671" width="9" style="2" customWidth="1"/>
    <col min="6672" max="6672" width="7.140625" style="2" customWidth="1"/>
    <col min="6673" max="6673" width="9.140625" style="2" customWidth="1"/>
    <col min="6674" max="6674" width="7.7109375" style="2" customWidth="1"/>
    <col min="6675" max="6675" width="7.5703125" style="2" customWidth="1"/>
    <col min="6676" max="6676" width="10" style="2" customWidth="1"/>
    <col min="6677" max="6678" width="10.140625" style="2" bestFit="1" customWidth="1"/>
    <col min="6679" max="6679" width="12.7109375" style="2" bestFit="1" customWidth="1"/>
    <col min="6680" max="6680" width="9.140625" style="2" customWidth="1"/>
    <col min="6681" max="6681" width="9" style="2" customWidth="1"/>
    <col min="6682" max="6682" width="8.85546875" style="2" customWidth="1"/>
    <col min="6683" max="6683" width="10.42578125" style="2" customWidth="1"/>
    <col min="6684" max="6684" width="8.7109375" style="2" customWidth="1"/>
    <col min="6685" max="6685" width="8.140625" style="2" customWidth="1"/>
    <col min="6686" max="6686" width="7.7109375" style="2" customWidth="1"/>
    <col min="6687" max="6687" width="9.7109375" style="2" customWidth="1"/>
    <col min="6688" max="6688" width="6.5703125" style="2" bestFit="1" customWidth="1"/>
    <col min="6689" max="6690" width="7.5703125" style="2" customWidth="1"/>
    <col min="6691" max="6691" width="7.7109375" style="2" customWidth="1"/>
    <col min="6692" max="6693" width="9.28515625" style="2" bestFit="1" customWidth="1"/>
    <col min="6694" max="6694" width="9.5703125" style="2" customWidth="1"/>
    <col min="6695" max="6695" width="9.140625" style="2" customWidth="1"/>
    <col min="6696" max="6697" width="7.85546875" style="2" customWidth="1"/>
    <col min="6698" max="6698" width="9.42578125" style="2" customWidth="1"/>
    <col min="6699" max="6699" width="10" style="2" customWidth="1"/>
    <col min="6700" max="6700" width="6.42578125" style="2" customWidth="1"/>
    <col min="6701" max="6701" width="9" style="2" customWidth="1"/>
    <col min="6702" max="6702" width="8.85546875" style="2" customWidth="1"/>
    <col min="6703" max="6703" width="7.7109375" style="2" customWidth="1"/>
    <col min="6704" max="6704" width="9.7109375" style="2" customWidth="1"/>
    <col min="6705" max="6705" width="9.42578125" style="2" customWidth="1"/>
    <col min="6706" max="6706" width="9.85546875" style="2" customWidth="1"/>
    <col min="6707" max="6707" width="7.7109375" style="2" customWidth="1"/>
    <col min="6708" max="6708" width="8.5703125" style="2" customWidth="1"/>
    <col min="6709" max="6709" width="9.140625" style="2" customWidth="1"/>
    <col min="6710" max="6710" width="10.140625" style="2" customWidth="1"/>
    <col min="6711" max="6711" width="10.42578125" style="2" customWidth="1"/>
    <col min="6712" max="6713" width="7.85546875" style="2" customWidth="1"/>
    <col min="6714" max="6714" width="8.28515625" style="2" customWidth="1"/>
    <col min="6715" max="6715" width="10.42578125" style="2" customWidth="1"/>
    <col min="6716" max="6717" width="7.85546875" style="2" customWidth="1"/>
    <col min="6718" max="6718" width="8.28515625" style="2" customWidth="1"/>
    <col min="6719" max="6719" width="10.42578125" style="2" customWidth="1"/>
    <col min="6720" max="6720" width="8.5703125" style="2" customWidth="1"/>
    <col min="6721" max="6721" width="8.85546875" style="2" customWidth="1"/>
    <col min="6722" max="6722" width="8.7109375" style="2" customWidth="1"/>
    <col min="6723" max="6723" width="7.140625" style="2" bestFit="1" customWidth="1"/>
    <col min="6724" max="6724" width="7.7109375" style="2" bestFit="1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8.85546875" style="2" customWidth="1"/>
    <col min="6729" max="6729" width="9.42578125" style="2" customWidth="1"/>
    <col min="6730" max="6731" width="7.7109375" style="2" bestFit="1" customWidth="1"/>
    <col min="6732" max="6732" width="8.85546875" style="2" customWidth="1"/>
    <col min="6733" max="6733" width="9.42578125" style="2" customWidth="1"/>
    <col min="6734" max="6735" width="7.7109375" style="2" bestFit="1" customWidth="1"/>
    <col min="6736" max="6736" width="9.140625" style="2" customWidth="1"/>
    <col min="6737" max="6737" width="10" style="2" customWidth="1"/>
    <col min="6738" max="6738" width="9.5703125" style="2" customWidth="1"/>
    <col min="6739" max="6739" width="9.28515625" style="2" bestFit="1" customWidth="1"/>
    <col min="6740" max="6740" width="9.28515625" style="2" customWidth="1"/>
    <col min="6741" max="6741" width="9.28515625" style="2" bestFit="1" customWidth="1"/>
    <col min="6742" max="6742" width="10.28515625" style="2" customWidth="1"/>
    <col min="6743" max="6743" width="7.7109375" style="2" bestFit="1" customWidth="1"/>
    <col min="6744" max="6744" width="8" style="2" customWidth="1"/>
    <col min="6745" max="6745" width="8.5703125" style="2" customWidth="1"/>
    <col min="6746" max="6746" width="9.7109375" style="2" customWidth="1"/>
    <col min="6747" max="6747" width="9.42578125" style="2" customWidth="1"/>
    <col min="6748" max="6748" width="9.140625" style="2" customWidth="1"/>
    <col min="6749" max="6749" width="11.42578125" style="2" customWidth="1"/>
    <col min="6750" max="6750" width="12.5703125" style="2" customWidth="1"/>
    <col min="6751" max="6751" width="10.28515625" style="2" customWidth="1"/>
    <col min="6752" max="6752" width="7.7109375" style="2" bestFit="1" customWidth="1"/>
    <col min="6753" max="6753" width="8.28515625" style="2" bestFit="1" customWidth="1"/>
    <col min="6754" max="6755" width="7.7109375" style="2" bestFit="1" customWidth="1"/>
    <col min="6756" max="6756" width="6.5703125" style="2" bestFit="1" customWidth="1"/>
    <col min="6757" max="6757" width="8.28515625" style="2" bestFit="1" customWidth="1"/>
    <col min="6758" max="6758" width="6.5703125" style="2" bestFit="1" customWidth="1"/>
    <col min="6759" max="6759" width="7.140625" style="2" bestFit="1" customWidth="1"/>
    <col min="6760" max="6760" width="7.7109375" style="2" bestFit="1" customWidth="1"/>
    <col min="6761" max="6761" width="8.28515625" style="2" bestFit="1" customWidth="1"/>
    <col min="6762" max="6764" width="7.7109375" style="2" bestFit="1" customWidth="1"/>
    <col min="6765" max="6765" width="8.28515625" style="2" bestFit="1" customWidth="1"/>
    <col min="6766" max="6767" width="7.7109375" style="2" bestFit="1" customWidth="1"/>
    <col min="6768" max="6769" width="9.85546875" style="2" customWidth="1"/>
    <col min="6770" max="6770" width="8.5703125" style="2" customWidth="1"/>
    <col min="6771" max="6772" width="8.85546875" style="2" customWidth="1"/>
    <col min="6773" max="6773" width="9.7109375" style="2" customWidth="1"/>
    <col min="6774" max="6774" width="8.5703125" style="2" customWidth="1"/>
    <col min="6775" max="6775" width="7.7109375" style="2" bestFit="1" customWidth="1"/>
    <col min="6776" max="6776" width="7.5703125" style="2" customWidth="1"/>
    <col min="6777" max="6777" width="8.28515625" style="2" bestFit="1" customWidth="1"/>
    <col min="6778" max="6778" width="8.28515625" style="2" customWidth="1"/>
    <col min="6779" max="6779" width="7.140625" style="2" bestFit="1" customWidth="1"/>
    <col min="6780" max="6780" width="9" style="2" customWidth="1"/>
    <col min="6781" max="6781" width="9.5703125" style="2" customWidth="1"/>
    <col min="6782" max="6782" width="9.7109375" style="2" customWidth="1"/>
    <col min="6783" max="6783" width="10.85546875" style="2" customWidth="1"/>
    <col min="6784" max="6784" width="10.42578125" style="2" customWidth="1"/>
    <col min="6785" max="6786" width="11.28515625" style="2" customWidth="1"/>
    <col min="6787" max="6787" width="11" style="2" customWidth="1"/>
    <col min="6788" max="6788" width="6.7109375" style="2" customWidth="1"/>
    <col min="6789" max="6791" width="9.85546875" style="2"/>
    <col min="6792" max="6792" width="13.140625" style="2" customWidth="1"/>
    <col min="6793" max="6869" width="9.85546875" style="2"/>
    <col min="6870" max="6870" width="27.5703125" style="2" customWidth="1"/>
    <col min="6871" max="6871" width="5.28515625" style="2" customWidth="1"/>
    <col min="6872" max="6873" width="9" style="2" customWidth="1"/>
    <col min="6874" max="6874" width="9.5703125" style="2" customWidth="1"/>
    <col min="6875" max="6875" width="9.7109375" style="2" customWidth="1"/>
    <col min="6876" max="6876" width="7.5703125" style="2" customWidth="1"/>
    <col min="6877" max="6877" width="10.42578125" style="2" customWidth="1"/>
    <col min="6878" max="6878" width="9.140625" style="2" bestFit="1" customWidth="1"/>
    <col min="6879" max="6879" width="7.28515625" style="2" customWidth="1"/>
    <col min="6880" max="6881" width="9.28515625" style="2" customWidth="1"/>
    <col min="6882" max="6882" width="9.5703125" style="2" customWidth="1"/>
    <col min="6883" max="6884" width="9" style="2" customWidth="1"/>
    <col min="6885" max="6885" width="8" style="2" customWidth="1"/>
    <col min="6886" max="6886" width="8.5703125" style="2" customWidth="1"/>
    <col min="6887" max="6887" width="8.28515625" style="2" customWidth="1"/>
    <col min="6888" max="6888" width="9.5703125" style="2" customWidth="1"/>
    <col min="6889" max="6889" width="8.42578125" style="2" customWidth="1"/>
    <col min="6890" max="6890" width="8.140625" style="2" customWidth="1"/>
    <col min="6891" max="6891" width="7.5703125" style="2" customWidth="1"/>
    <col min="6892" max="6892" width="9.140625" style="2" customWidth="1"/>
    <col min="6893" max="6893" width="9" style="2" customWidth="1"/>
    <col min="6894" max="6894" width="8.5703125" style="2" customWidth="1"/>
    <col min="6895" max="6895" width="7.85546875" style="2" customWidth="1"/>
    <col min="6896" max="6896" width="6.7109375" style="2" customWidth="1"/>
    <col min="6897" max="6897" width="5.7109375" style="2" customWidth="1"/>
    <col min="6898" max="6898" width="6.28515625" style="2" customWidth="1"/>
    <col min="6899" max="6899" width="6.5703125" style="2" customWidth="1"/>
    <col min="6900" max="6900" width="8.7109375" style="2" customWidth="1"/>
    <col min="6901" max="6901" width="9" style="2" customWidth="1"/>
    <col min="6902" max="6902" width="8.28515625" style="2" customWidth="1"/>
    <col min="6903" max="6903" width="8.42578125" style="2" customWidth="1"/>
    <col min="6904" max="6904" width="9.85546875" style="2" customWidth="1"/>
    <col min="6905" max="6905" width="10" style="2" customWidth="1"/>
    <col min="6906" max="6906" width="10.140625" style="2" customWidth="1"/>
    <col min="6907" max="6907" width="10.5703125" style="2" customWidth="1"/>
    <col min="6908" max="6908" width="8.140625" style="2" customWidth="1"/>
    <col min="6909" max="6909" width="7.85546875" style="2" customWidth="1"/>
    <col min="6910" max="6910" width="9" style="2" customWidth="1"/>
    <col min="6911" max="6911" width="10" style="2" customWidth="1"/>
    <col min="6912" max="6912" width="10.28515625" style="2" customWidth="1"/>
    <col min="6913" max="6913" width="10.140625" style="2" customWidth="1"/>
    <col min="6914" max="6914" width="10.5703125" style="2" customWidth="1"/>
    <col min="6915" max="6915" width="10.28515625" style="2" customWidth="1"/>
    <col min="6916" max="6916" width="9.7109375" style="2" customWidth="1"/>
    <col min="6917" max="6917" width="9.140625" style="2" bestFit="1" customWidth="1"/>
    <col min="6918" max="6918" width="9.28515625" style="2" customWidth="1"/>
    <col min="6919" max="6919" width="9" style="2" customWidth="1"/>
    <col min="6920" max="6920" width="8" style="2" customWidth="1"/>
    <col min="6921" max="6921" width="8.28515625" style="2" customWidth="1"/>
    <col min="6922" max="6922" width="7.85546875" style="2" customWidth="1"/>
    <col min="6923" max="6923" width="9" style="2" customWidth="1"/>
    <col min="6924" max="6924" width="8.42578125" style="2" customWidth="1"/>
    <col min="6925" max="6925" width="8.28515625" style="2" bestFit="1" customWidth="1"/>
    <col min="6926" max="6927" width="9" style="2" customWidth="1"/>
    <col min="6928" max="6928" width="7.140625" style="2" customWidth="1"/>
    <col min="6929" max="6929" width="9.140625" style="2" customWidth="1"/>
    <col min="6930" max="6930" width="7.7109375" style="2" customWidth="1"/>
    <col min="6931" max="6931" width="7.5703125" style="2" customWidth="1"/>
    <col min="6932" max="6932" width="10" style="2" customWidth="1"/>
    <col min="6933" max="6934" width="10.140625" style="2" bestFit="1" customWidth="1"/>
    <col min="6935" max="6935" width="12.7109375" style="2" bestFit="1" customWidth="1"/>
    <col min="6936" max="6936" width="9.140625" style="2" customWidth="1"/>
    <col min="6937" max="6937" width="9" style="2" customWidth="1"/>
    <col min="6938" max="6938" width="8.85546875" style="2" customWidth="1"/>
    <col min="6939" max="6939" width="10.42578125" style="2" customWidth="1"/>
    <col min="6940" max="6940" width="8.7109375" style="2" customWidth="1"/>
    <col min="6941" max="6941" width="8.140625" style="2" customWidth="1"/>
    <col min="6942" max="6942" width="7.7109375" style="2" customWidth="1"/>
    <col min="6943" max="6943" width="9.7109375" style="2" customWidth="1"/>
    <col min="6944" max="6944" width="6.5703125" style="2" bestFit="1" customWidth="1"/>
    <col min="6945" max="6946" width="7.5703125" style="2" customWidth="1"/>
    <col min="6947" max="6947" width="7.7109375" style="2" customWidth="1"/>
    <col min="6948" max="6949" width="9.28515625" style="2" bestFit="1" customWidth="1"/>
    <col min="6950" max="6950" width="9.5703125" style="2" customWidth="1"/>
    <col min="6951" max="6951" width="9.140625" style="2" customWidth="1"/>
    <col min="6952" max="6953" width="7.85546875" style="2" customWidth="1"/>
    <col min="6954" max="6954" width="9.42578125" style="2" customWidth="1"/>
    <col min="6955" max="6955" width="10" style="2" customWidth="1"/>
    <col min="6956" max="6956" width="6.42578125" style="2" customWidth="1"/>
    <col min="6957" max="6957" width="9" style="2" customWidth="1"/>
    <col min="6958" max="6958" width="8.85546875" style="2" customWidth="1"/>
    <col min="6959" max="6959" width="7.7109375" style="2" customWidth="1"/>
    <col min="6960" max="6960" width="9.7109375" style="2" customWidth="1"/>
    <col min="6961" max="6961" width="9.42578125" style="2" customWidth="1"/>
    <col min="6962" max="6962" width="9.85546875" style="2" customWidth="1"/>
    <col min="6963" max="6963" width="7.7109375" style="2" customWidth="1"/>
    <col min="6964" max="6964" width="8.5703125" style="2" customWidth="1"/>
    <col min="6965" max="6965" width="9.140625" style="2" customWidth="1"/>
    <col min="6966" max="6966" width="10.140625" style="2" customWidth="1"/>
    <col min="6967" max="6967" width="10.42578125" style="2" customWidth="1"/>
    <col min="6968" max="6969" width="7.85546875" style="2" customWidth="1"/>
    <col min="6970" max="6970" width="8.28515625" style="2" customWidth="1"/>
    <col min="6971" max="6971" width="10.42578125" style="2" customWidth="1"/>
    <col min="6972" max="6973" width="7.85546875" style="2" customWidth="1"/>
    <col min="6974" max="6974" width="8.28515625" style="2" customWidth="1"/>
    <col min="6975" max="6975" width="10.42578125" style="2" customWidth="1"/>
    <col min="6976" max="6976" width="8.5703125" style="2" customWidth="1"/>
    <col min="6977" max="6977" width="8.85546875" style="2" customWidth="1"/>
    <col min="6978" max="6978" width="8.7109375" style="2" customWidth="1"/>
    <col min="6979" max="6979" width="7.140625" style="2" bestFit="1" customWidth="1"/>
    <col min="6980" max="6980" width="7.7109375" style="2" bestFit="1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8.85546875" style="2" customWidth="1"/>
    <col min="6985" max="6985" width="9.42578125" style="2" customWidth="1"/>
    <col min="6986" max="6987" width="7.7109375" style="2" bestFit="1" customWidth="1"/>
    <col min="6988" max="6988" width="8.85546875" style="2" customWidth="1"/>
    <col min="6989" max="6989" width="9.42578125" style="2" customWidth="1"/>
    <col min="6990" max="6991" width="7.7109375" style="2" bestFit="1" customWidth="1"/>
    <col min="6992" max="6992" width="9.140625" style="2" customWidth="1"/>
    <col min="6993" max="6993" width="10" style="2" customWidth="1"/>
    <col min="6994" max="6994" width="9.5703125" style="2" customWidth="1"/>
    <col min="6995" max="6995" width="9.28515625" style="2" bestFit="1" customWidth="1"/>
    <col min="6996" max="6996" width="9.28515625" style="2" customWidth="1"/>
    <col min="6997" max="6997" width="9.28515625" style="2" bestFit="1" customWidth="1"/>
    <col min="6998" max="6998" width="10.28515625" style="2" customWidth="1"/>
    <col min="6999" max="6999" width="7.7109375" style="2" bestFit="1" customWidth="1"/>
    <col min="7000" max="7000" width="8" style="2" customWidth="1"/>
    <col min="7001" max="7001" width="8.5703125" style="2" customWidth="1"/>
    <col min="7002" max="7002" width="9.7109375" style="2" customWidth="1"/>
    <col min="7003" max="7003" width="9.42578125" style="2" customWidth="1"/>
    <col min="7004" max="7004" width="9.140625" style="2" customWidth="1"/>
    <col min="7005" max="7005" width="11.42578125" style="2" customWidth="1"/>
    <col min="7006" max="7006" width="12.5703125" style="2" customWidth="1"/>
    <col min="7007" max="7007" width="10.28515625" style="2" customWidth="1"/>
    <col min="7008" max="7008" width="7.7109375" style="2" bestFit="1" customWidth="1"/>
    <col min="7009" max="7009" width="8.28515625" style="2" bestFit="1" customWidth="1"/>
    <col min="7010" max="7011" width="7.7109375" style="2" bestFit="1" customWidth="1"/>
    <col min="7012" max="7012" width="6.5703125" style="2" bestFit="1" customWidth="1"/>
    <col min="7013" max="7013" width="8.28515625" style="2" bestFit="1" customWidth="1"/>
    <col min="7014" max="7014" width="6.5703125" style="2" bestFit="1" customWidth="1"/>
    <col min="7015" max="7015" width="7.140625" style="2" bestFit="1" customWidth="1"/>
    <col min="7016" max="7016" width="7.7109375" style="2" bestFit="1" customWidth="1"/>
    <col min="7017" max="7017" width="8.28515625" style="2" bestFit="1" customWidth="1"/>
    <col min="7018" max="7020" width="7.7109375" style="2" bestFit="1" customWidth="1"/>
    <col min="7021" max="7021" width="8.28515625" style="2" bestFit="1" customWidth="1"/>
    <col min="7022" max="7023" width="7.7109375" style="2" bestFit="1" customWidth="1"/>
    <col min="7024" max="7025" width="9.85546875" style="2" customWidth="1"/>
    <col min="7026" max="7026" width="8.5703125" style="2" customWidth="1"/>
    <col min="7027" max="7028" width="8.85546875" style="2" customWidth="1"/>
    <col min="7029" max="7029" width="9.7109375" style="2" customWidth="1"/>
    <col min="7030" max="7030" width="8.5703125" style="2" customWidth="1"/>
    <col min="7031" max="7031" width="7.7109375" style="2" bestFit="1" customWidth="1"/>
    <col min="7032" max="7032" width="7.5703125" style="2" customWidth="1"/>
    <col min="7033" max="7033" width="8.28515625" style="2" bestFit="1" customWidth="1"/>
    <col min="7034" max="7034" width="8.28515625" style="2" customWidth="1"/>
    <col min="7035" max="7035" width="7.140625" style="2" bestFit="1" customWidth="1"/>
    <col min="7036" max="7036" width="9" style="2" customWidth="1"/>
    <col min="7037" max="7037" width="9.5703125" style="2" customWidth="1"/>
    <col min="7038" max="7038" width="9.7109375" style="2" customWidth="1"/>
    <col min="7039" max="7039" width="10.85546875" style="2" customWidth="1"/>
    <col min="7040" max="7040" width="10.42578125" style="2" customWidth="1"/>
    <col min="7041" max="7042" width="11.28515625" style="2" customWidth="1"/>
    <col min="7043" max="7043" width="11" style="2" customWidth="1"/>
    <col min="7044" max="7044" width="6.7109375" style="2" customWidth="1"/>
    <col min="7045" max="7047" width="9.85546875" style="2"/>
    <col min="7048" max="7048" width="13.140625" style="2" customWidth="1"/>
    <col min="7049" max="7125" width="9.85546875" style="2"/>
    <col min="7126" max="7126" width="27.5703125" style="2" customWidth="1"/>
    <col min="7127" max="7127" width="5.28515625" style="2" customWidth="1"/>
    <col min="7128" max="7129" width="9" style="2" customWidth="1"/>
    <col min="7130" max="7130" width="9.5703125" style="2" customWidth="1"/>
    <col min="7131" max="7131" width="9.7109375" style="2" customWidth="1"/>
    <col min="7132" max="7132" width="7.5703125" style="2" customWidth="1"/>
    <col min="7133" max="7133" width="10.42578125" style="2" customWidth="1"/>
    <col min="7134" max="7134" width="9.140625" style="2" bestFit="1" customWidth="1"/>
    <col min="7135" max="7135" width="7.28515625" style="2" customWidth="1"/>
    <col min="7136" max="7137" width="9.28515625" style="2" customWidth="1"/>
    <col min="7138" max="7138" width="9.5703125" style="2" customWidth="1"/>
    <col min="7139" max="7140" width="9" style="2" customWidth="1"/>
    <col min="7141" max="7141" width="8" style="2" customWidth="1"/>
    <col min="7142" max="7142" width="8.5703125" style="2" customWidth="1"/>
    <col min="7143" max="7143" width="8.28515625" style="2" customWidth="1"/>
    <col min="7144" max="7144" width="9.5703125" style="2" customWidth="1"/>
    <col min="7145" max="7145" width="8.42578125" style="2" customWidth="1"/>
    <col min="7146" max="7146" width="8.140625" style="2" customWidth="1"/>
    <col min="7147" max="7147" width="7.5703125" style="2" customWidth="1"/>
    <col min="7148" max="7148" width="9.140625" style="2" customWidth="1"/>
    <col min="7149" max="7149" width="9" style="2" customWidth="1"/>
    <col min="7150" max="7150" width="8.5703125" style="2" customWidth="1"/>
    <col min="7151" max="7151" width="7.85546875" style="2" customWidth="1"/>
    <col min="7152" max="7152" width="6.7109375" style="2" customWidth="1"/>
    <col min="7153" max="7153" width="5.7109375" style="2" customWidth="1"/>
    <col min="7154" max="7154" width="6.28515625" style="2" customWidth="1"/>
    <col min="7155" max="7155" width="6.5703125" style="2" customWidth="1"/>
    <col min="7156" max="7156" width="8.7109375" style="2" customWidth="1"/>
    <col min="7157" max="7157" width="9" style="2" customWidth="1"/>
    <col min="7158" max="7158" width="8.28515625" style="2" customWidth="1"/>
    <col min="7159" max="7159" width="8.42578125" style="2" customWidth="1"/>
    <col min="7160" max="7160" width="9.85546875" style="2" customWidth="1"/>
    <col min="7161" max="7161" width="10" style="2" customWidth="1"/>
    <col min="7162" max="7162" width="10.140625" style="2" customWidth="1"/>
    <col min="7163" max="7163" width="10.5703125" style="2" customWidth="1"/>
    <col min="7164" max="7164" width="8.140625" style="2" customWidth="1"/>
    <col min="7165" max="7165" width="7.85546875" style="2" customWidth="1"/>
    <col min="7166" max="7166" width="9" style="2" customWidth="1"/>
    <col min="7167" max="7167" width="10" style="2" customWidth="1"/>
    <col min="7168" max="7168" width="10.28515625" style="2" customWidth="1"/>
    <col min="7169" max="7169" width="10.140625" style="2" customWidth="1"/>
    <col min="7170" max="7170" width="10.5703125" style="2" customWidth="1"/>
    <col min="7171" max="7171" width="10.28515625" style="2" customWidth="1"/>
    <col min="7172" max="7172" width="9.7109375" style="2" customWidth="1"/>
    <col min="7173" max="7173" width="9.140625" style="2" bestFit="1" customWidth="1"/>
    <col min="7174" max="7174" width="9.28515625" style="2" customWidth="1"/>
    <col min="7175" max="7175" width="9" style="2" customWidth="1"/>
    <col min="7176" max="7176" width="8" style="2" customWidth="1"/>
    <col min="7177" max="7177" width="8.28515625" style="2" customWidth="1"/>
    <col min="7178" max="7178" width="7.85546875" style="2" customWidth="1"/>
    <col min="7179" max="7179" width="9" style="2" customWidth="1"/>
    <col min="7180" max="7180" width="8.42578125" style="2" customWidth="1"/>
    <col min="7181" max="7181" width="8.28515625" style="2" bestFit="1" customWidth="1"/>
    <col min="7182" max="7183" width="9" style="2" customWidth="1"/>
    <col min="7184" max="7184" width="7.140625" style="2" customWidth="1"/>
    <col min="7185" max="7185" width="9.140625" style="2" customWidth="1"/>
    <col min="7186" max="7186" width="7.7109375" style="2" customWidth="1"/>
    <col min="7187" max="7187" width="7.5703125" style="2" customWidth="1"/>
    <col min="7188" max="7188" width="10" style="2" customWidth="1"/>
    <col min="7189" max="7190" width="10.140625" style="2" bestFit="1" customWidth="1"/>
    <col min="7191" max="7191" width="12.7109375" style="2" bestFit="1" customWidth="1"/>
    <col min="7192" max="7192" width="9.140625" style="2" customWidth="1"/>
    <col min="7193" max="7193" width="9" style="2" customWidth="1"/>
    <col min="7194" max="7194" width="8.85546875" style="2" customWidth="1"/>
    <col min="7195" max="7195" width="10.42578125" style="2" customWidth="1"/>
    <col min="7196" max="7196" width="8.7109375" style="2" customWidth="1"/>
    <col min="7197" max="7197" width="8.140625" style="2" customWidth="1"/>
    <col min="7198" max="7198" width="7.7109375" style="2" customWidth="1"/>
    <col min="7199" max="7199" width="9.7109375" style="2" customWidth="1"/>
    <col min="7200" max="7200" width="6.5703125" style="2" bestFit="1" customWidth="1"/>
    <col min="7201" max="7202" width="7.5703125" style="2" customWidth="1"/>
    <col min="7203" max="7203" width="7.7109375" style="2" customWidth="1"/>
    <col min="7204" max="7205" width="9.28515625" style="2" bestFit="1" customWidth="1"/>
    <col min="7206" max="7206" width="9.5703125" style="2" customWidth="1"/>
    <col min="7207" max="7207" width="9.140625" style="2" customWidth="1"/>
    <col min="7208" max="7209" width="7.85546875" style="2" customWidth="1"/>
    <col min="7210" max="7210" width="9.42578125" style="2" customWidth="1"/>
    <col min="7211" max="7211" width="10" style="2" customWidth="1"/>
    <col min="7212" max="7212" width="6.42578125" style="2" customWidth="1"/>
    <col min="7213" max="7213" width="9" style="2" customWidth="1"/>
    <col min="7214" max="7214" width="8.85546875" style="2" customWidth="1"/>
    <col min="7215" max="7215" width="7.7109375" style="2" customWidth="1"/>
    <col min="7216" max="7216" width="9.7109375" style="2" customWidth="1"/>
    <col min="7217" max="7217" width="9.42578125" style="2" customWidth="1"/>
    <col min="7218" max="7218" width="9.85546875" style="2" customWidth="1"/>
    <col min="7219" max="7219" width="7.7109375" style="2" customWidth="1"/>
    <col min="7220" max="7220" width="8.5703125" style="2" customWidth="1"/>
    <col min="7221" max="7221" width="9.140625" style="2" customWidth="1"/>
    <col min="7222" max="7222" width="10.140625" style="2" customWidth="1"/>
    <col min="7223" max="7223" width="10.42578125" style="2" customWidth="1"/>
    <col min="7224" max="7225" width="7.85546875" style="2" customWidth="1"/>
    <col min="7226" max="7226" width="8.28515625" style="2" customWidth="1"/>
    <col min="7227" max="7227" width="10.42578125" style="2" customWidth="1"/>
    <col min="7228" max="7229" width="7.85546875" style="2" customWidth="1"/>
    <col min="7230" max="7230" width="8.28515625" style="2" customWidth="1"/>
    <col min="7231" max="7231" width="10.42578125" style="2" customWidth="1"/>
    <col min="7232" max="7232" width="8.5703125" style="2" customWidth="1"/>
    <col min="7233" max="7233" width="8.85546875" style="2" customWidth="1"/>
    <col min="7234" max="7234" width="8.7109375" style="2" customWidth="1"/>
    <col min="7235" max="7235" width="7.140625" style="2" bestFit="1" customWidth="1"/>
    <col min="7236" max="7236" width="7.7109375" style="2" bestFit="1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8.85546875" style="2" customWidth="1"/>
    <col min="7241" max="7241" width="9.42578125" style="2" customWidth="1"/>
    <col min="7242" max="7243" width="7.7109375" style="2" bestFit="1" customWidth="1"/>
    <col min="7244" max="7244" width="8.85546875" style="2" customWidth="1"/>
    <col min="7245" max="7245" width="9.42578125" style="2" customWidth="1"/>
    <col min="7246" max="7247" width="7.7109375" style="2" bestFit="1" customWidth="1"/>
    <col min="7248" max="7248" width="9.140625" style="2" customWidth="1"/>
    <col min="7249" max="7249" width="10" style="2" customWidth="1"/>
    <col min="7250" max="7250" width="9.5703125" style="2" customWidth="1"/>
    <col min="7251" max="7251" width="9.28515625" style="2" bestFit="1" customWidth="1"/>
    <col min="7252" max="7252" width="9.28515625" style="2" customWidth="1"/>
    <col min="7253" max="7253" width="9.28515625" style="2" bestFit="1" customWidth="1"/>
    <col min="7254" max="7254" width="10.28515625" style="2" customWidth="1"/>
    <col min="7255" max="7255" width="7.7109375" style="2" bestFit="1" customWidth="1"/>
    <col min="7256" max="7256" width="8" style="2" customWidth="1"/>
    <col min="7257" max="7257" width="8.5703125" style="2" customWidth="1"/>
    <col min="7258" max="7258" width="9.7109375" style="2" customWidth="1"/>
    <col min="7259" max="7259" width="9.42578125" style="2" customWidth="1"/>
    <col min="7260" max="7260" width="9.140625" style="2" customWidth="1"/>
    <col min="7261" max="7261" width="11.42578125" style="2" customWidth="1"/>
    <col min="7262" max="7262" width="12.5703125" style="2" customWidth="1"/>
    <col min="7263" max="7263" width="10.28515625" style="2" customWidth="1"/>
    <col min="7264" max="7264" width="7.7109375" style="2" bestFit="1" customWidth="1"/>
    <col min="7265" max="7265" width="8.28515625" style="2" bestFit="1" customWidth="1"/>
    <col min="7266" max="7267" width="7.7109375" style="2" bestFit="1" customWidth="1"/>
    <col min="7268" max="7268" width="6.5703125" style="2" bestFit="1" customWidth="1"/>
    <col min="7269" max="7269" width="8.28515625" style="2" bestFit="1" customWidth="1"/>
    <col min="7270" max="7270" width="6.5703125" style="2" bestFit="1" customWidth="1"/>
    <col min="7271" max="7271" width="7.140625" style="2" bestFit="1" customWidth="1"/>
    <col min="7272" max="7272" width="7.7109375" style="2" bestFit="1" customWidth="1"/>
    <col min="7273" max="7273" width="8.28515625" style="2" bestFit="1" customWidth="1"/>
    <col min="7274" max="7276" width="7.7109375" style="2" bestFit="1" customWidth="1"/>
    <col min="7277" max="7277" width="8.28515625" style="2" bestFit="1" customWidth="1"/>
    <col min="7278" max="7279" width="7.7109375" style="2" bestFit="1" customWidth="1"/>
    <col min="7280" max="7281" width="9.85546875" style="2" customWidth="1"/>
    <col min="7282" max="7282" width="8.5703125" style="2" customWidth="1"/>
    <col min="7283" max="7284" width="8.85546875" style="2" customWidth="1"/>
    <col min="7285" max="7285" width="9.7109375" style="2" customWidth="1"/>
    <col min="7286" max="7286" width="8.5703125" style="2" customWidth="1"/>
    <col min="7287" max="7287" width="7.7109375" style="2" bestFit="1" customWidth="1"/>
    <col min="7288" max="7288" width="7.5703125" style="2" customWidth="1"/>
    <col min="7289" max="7289" width="8.28515625" style="2" bestFit="1" customWidth="1"/>
    <col min="7290" max="7290" width="8.28515625" style="2" customWidth="1"/>
    <col min="7291" max="7291" width="7.140625" style="2" bestFit="1" customWidth="1"/>
    <col min="7292" max="7292" width="9" style="2" customWidth="1"/>
    <col min="7293" max="7293" width="9.5703125" style="2" customWidth="1"/>
    <col min="7294" max="7294" width="9.7109375" style="2" customWidth="1"/>
    <col min="7295" max="7295" width="10.85546875" style="2" customWidth="1"/>
    <col min="7296" max="7296" width="10.42578125" style="2" customWidth="1"/>
    <col min="7297" max="7298" width="11.28515625" style="2" customWidth="1"/>
    <col min="7299" max="7299" width="11" style="2" customWidth="1"/>
    <col min="7300" max="7300" width="6.7109375" style="2" customWidth="1"/>
    <col min="7301" max="7303" width="9.85546875" style="2"/>
    <col min="7304" max="7304" width="13.140625" style="2" customWidth="1"/>
    <col min="7305" max="7381" width="9.85546875" style="2"/>
    <col min="7382" max="7382" width="27.5703125" style="2" customWidth="1"/>
    <col min="7383" max="7383" width="5.28515625" style="2" customWidth="1"/>
    <col min="7384" max="7385" width="9" style="2" customWidth="1"/>
    <col min="7386" max="7386" width="9.5703125" style="2" customWidth="1"/>
    <col min="7387" max="7387" width="9.7109375" style="2" customWidth="1"/>
    <col min="7388" max="7388" width="7.5703125" style="2" customWidth="1"/>
    <col min="7389" max="7389" width="10.42578125" style="2" customWidth="1"/>
    <col min="7390" max="7390" width="9.140625" style="2" bestFit="1" customWidth="1"/>
    <col min="7391" max="7391" width="7.28515625" style="2" customWidth="1"/>
    <col min="7392" max="7393" width="9.28515625" style="2" customWidth="1"/>
    <col min="7394" max="7394" width="9.5703125" style="2" customWidth="1"/>
    <col min="7395" max="7396" width="9" style="2" customWidth="1"/>
    <col min="7397" max="7397" width="8" style="2" customWidth="1"/>
    <col min="7398" max="7398" width="8.5703125" style="2" customWidth="1"/>
    <col min="7399" max="7399" width="8.28515625" style="2" customWidth="1"/>
    <col min="7400" max="7400" width="9.5703125" style="2" customWidth="1"/>
    <col min="7401" max="7401" width="8.42578125" style="2" customWidth="1"/>
    <col min="7402" max="7402" width="8.140625" style="2" customWidth="1"/>
    <col min="7403" max="7403" width="7.5703125" style="2" customWidth="1"/>
    <col min="7404" max="7404" width="9.140625" style="2" customWidth="1"/>
    <col min="7405" max="7405" width="9" style="2" customWidth="1"/>
    <col min="7406" max="7406" width="8.5703125" style="2" customWidth="1"/>
    <col min="7407" max="7407" width="7.85546875" style="2" customWidth="1"/>
    <col min="7408" max="7408" width="6.7109375" style="2" customWidth="1"/>
    <col min="7409" max="7409" width="5.7109375" style="2" customWidth="1"/>
    <col min="7410" max="7410" width="6.28515625" style="2" customWidth="1"/>
    <col min="7411" max="7411" width="6.5703125" style="2" customWidth="1"/>
    <col min="7412" max="7412" width="8.7109375" style="2" customWidth="1"/>
    <col min="7413" max="7413" width="9" style="2" customWidth="1"/>
    <col min="7414" max="7414" width="8.28515625" style="2" customWidth="1"/>
    <col min="7415" max="7415" width="8.42578125" style="2" customWidth="1"/>
    <col min="7416" max="7416" width="9.85546875" style="2" customWidth="1"/>
    <col min="7417" max="7417" width="10" style="2" customWidth="1"/>
    <col min="7418" max="7418" width="10.140625" style="2" customWidth="1"/>
    <col min="7419" max="7419" width="10.5703125" style="2" customWidth="1"/>
    <col min="7420" max="7420" width="8.140625" style="2" customWidth="1"/>
    <col min="7421" max="7421" width="7.85546875" style="2" customWidth="1"/>
    <col min="7422" max="7422" width="9" style="2" customWidth="1"/>
    <col min="7423" max="7423" width="10" style="2" customWidth="1"/>
    <col min="7424" max="7424" width="10.28515625" style="2" customWidth="1"/>
    <col min="7425" max="7425" width="10.140625" style="2" customWidth="1"/>
    <col min="7426" max="7426" width="10.5703125" style="2" customWidth="1"/>
    <col min="7427" max="7427" width="10.28515625" style="2" customWidth="1"/>
    <col min="7428" max="7428" width="9.7109375" style="2" customWidth="1"/>
    <col min="7429" max="7429" width="9.140625" style="2" bestFit="1" customWidth="1"/>
    <col min="7430" max="7430" width="9.28515625" style="2" customWidth="1"/>
    <col min="7431" max="7431" width="9" style="2" customWidth="1"/>
    <col min="7432" max="7432" width="8" style="2" customWidth="1"/>
    <col min="7433" max="7433" width="8.28515625" style="2" customWidth="1"/>
    <col min="7434" max="7434" width="7.85546875" style="2" customWidth="1"/>
    <col min="7435" max="7435" width="9" style="2" customWidth="1"/>
    <col min="7436" max="7436" width="8.42578125" style="2" customWidth="1"/>
    <col min="7437" max="7437" width="8.28515625" style="2" bestFit="1" customWidth="1"/>
    <col min="7438" max="7439" width="9" style="2" customWidth="1"/>
    <col min="7440" max="7440" width="7.140625" style="2" customWidth="1"/>
    <col min="7441" max="7441" width="9.140625" style="2" customWidth="1"/>
    <col min="7442" max="7442" width="7.7109375" style="2" customWidth="1"/>
    <col min="7443" max="7443" width="7.5703125" style="2" customWidth="1"/>
    <col min="7444" max="7444" width="10" style="2" customWidth="1"/>
    <col min="7445" max="7446" width="10.140625" style="2" bestFit="1" customWidth="1"/>
    <col min="7447" max="7447" width="12.7109375" style="2" bestFit="1" customWidth="1"/>
    <col min="7448" max="7448" width="9.140625" style="2" customWidth="1"/>
    <col min="7449" max="7449" width="9" style="2" customWidth="1"/>
    <col min="7450" max="7450" width="8.85546875" style="2" customWidth="1"/>
    <col min="7451" max="7451" width="10.42578125" style="2" customWidth="1"/>
    <col min="7452" max="7452" width="8.7109375" style="2" customWidth="1"/>
    <col min="7453" max="7453" width="8.140625" style="2" customWidth="1"/>
    <col min="7454" max="7454" width="7.7109375" style="2" customWidth="1"/>
    <col min="7455" max="7455" width="9.7109375" style="2" customWidth="1"/>
    <col min="7456" max="7456" width="6.5703125" style="2" bestFit="1" customWidth="1"/>
    <col min="7457" max="7458" width="7.5703125" style="2" customWidth="1"/>
    <col min="7459" max="7459" width="7.7109375" style="2" customWidth="1"/>
    <col min="7460" max="7461" width="9.28515625" style="2" bestFit="1" customWidth="1"/>
    <col min="7462" max="7462" width="9.5703125" style="2" customWidth="1"/>
    <col min="7463" max="7463" width="9.140625" style="2" customWidth="1"/>
    <col min="7464" max="7465" width="7.85546875" style="2" customWidth="1"/>
    <col min="7466" max="7466" width="9.42578125" style="2" customWidth="1"/>
    <col min="7467" max="7467" width="10" style="2" customWidth="1"/>
    <col min="7468" max="7468" width="6.42578125" style="2" customWidth="1"/>
    <col min="7469" max="7469" width="9" style="2" customWidth="1"/>
    <col min="7470" max="7470" width="8.85546875" style="2" customWidth="1"/>
    <col min="7471" max="7471" width="7.7109375" style="2" customWidth="1"/>
    <col min="7472" max="7472" width="9.7109375" style="2" customWidth="1"/>
    <col min="7473" max="7473" width="9.42578125" style="2" customWidth="1"/>
    <col min="7474" max="7474" width="9.85546875" style="2" customWidth="1"/>
    <col min="7475" max="7475" width="7.7109375" style="2" customWidth="1"/>
    <col min="7476" max="7476" width="8.5703125" style="2" customWidth="1"/>
    <col min="7477" max="7477" width="9.140625" style="2" customWidth="1"/>
    <col min="7478" max="7478" width="10.140625" style="2" customWidth="1"/>
    <col min="7479" max="7479" width="10.42578125" style="2" customWidth="1"/>
    <col min="7480" max="7481" width="7.85546875" style="2" customWidth="1"/>
    <col min="7482" max="7482" width="8.28515625" style="2" customWidth="1"/>
    <col min="7483" max="7483" width="10.42578125" style="2" customWidth="1"/>
    <col min="7484" max="7485" width="7.85546875" style="2" customWidth="1"/>
    <col min="7486" max="7486" width="8.28515625" style="2" customWidth="1"/>
    <col min="7487" max="7487" width="10.42578125" style="2" customWidth="1"/>
    <col min="7488" max="7488" width="8.5703125" style="2" customWidth="1"/>
    <col min="7489" max="7489" width="8.85546875" style="2" customWidth="1"/>
    <col min="7490" max="7490" width="8.7109375" style="2" customWidth="1"/>
    <col min="7491" max="7491" width="7.140625" style="2" bestFit="1" customWidth="1"/>
    <col min="7492" max="7492" width="7.7109375" style="2" bestFit="1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8.85546875" style="2" customWidth="1"/>
    <col min="7497" max="7497" width="9.42578125" style="2" customWidth="1"/>
    <col min="7498" max="7499" width="7.7109375" style="2" bestFit="1" customWidth="1"/>
    <col min="7500" max="7500" width="8.85546875" style="2" customWidth="1"/>
    <col min="7501" max="7501" width="9.42578125" style="2" customWidth="1"/>
    <col min="7502" max="7503" width="7.7109375" style="2" bestFit="1" customWidth="1"/>
    <col min="7504" max="7504" width="9.140625" style="2" customWidth="1"/>
    <col min="7505" max="7505" width="10" style="2" customWidth="1"/>
    <col min="7506" max="7506" width="9.5703125" style="2" customWidth="1"/>
    <col min="7507" max="7507" width="9.28515625" style="2" bestFit="1" customWidth="1"/>
    <col min="7508" max="7508" width="9.28515625" style="2" customWidth="1"/>
    <col min="7509" max="7509" width="9.28515625" style="2" bestFit="1" customWidth="1"/>
    <col min="7510" max="7510" width="10.28515625" style="2" customWidth="1"/>
    <col min="7511" max="7511" width="7.7109375" style="2" bestFit="1" customWidth="1"/>
    <col min="7512" max="7512" width="8" style="2" customWidth="1"/>
    <col min="7513" max="7513" width="8.5703125" style="2" customWidth="1"/>
    <col min="7514" max="7514" width="9.7109375" style="2" customWidth="1"/>
    <col min="7515" max="7515" width="9.42578125" style="2" customWidth="1"/>
    <col min="7516" max="7516" width="9.140625" style="2" customWidth="1"/>
    <col min="7517" max="7517" width="11.42578125" style="2" customWidth="1"/>
    <col min="7518" max="7518" width="12.5703125" style="2" customWidth="1"/>
    <col min="7519" max="7519" width="10.28515625" style="2" customWidth="1"/>
    <col min="7520" max="7520" width="7.7109375" style="2" bestFit="1" customWidth="1"/>
    <col min="7521" max="7521" width="8.28515625" style="2" bestFit="1" customWidth="1"/>
    <col min="7522" max="7523" width="7.7109375" style="2" bestFit="1" customWidth="1"/>
    <col min="7524" max="7524" width="6.5703125" style="2" bestFit="1" customWidth="1"/>
    <col min="7525" max="7525" width="8.28515625" style="2" bestFit="1" customWidth="1"/>
    <col min="7526" max="7526" width="6.5703125" style="2" bestFit="1" customWidth="1"/>
    <col min="7527" max="7527" width="7.140625" style="2" bestFit="1" customWidth="1"/>
    <col min="7528" max="7528" width="7.7109375" style="2" bestFit="1" customWidth="1"/>
    <col min="7529" max="7529" width="8.28515625" style="2" bestFit="1" customWidth="1"/>
    <col min="7530" max="7532" width="7.7109375" style="2" bestFit="1" customWidth="1"/>
    <col min="7533" max="7533" width="8.28515625" style="2" bestFit="1" customWidth="1"/>
    <col min="7534" max="7535" width="7.7109375" style="2" bestFit="1" customWidth="1"/>
    <col min="7536" max="7537" width="9.85546875" style="2" customWidth="1"/>
    <col min="7538" max="7538" width="8.5703125" style="2" customWidth="1"/>
    <col min="7539" max="7540" width="8.85546875" style="2" customWidth="1"/>
    <col min="7541" max="7541" width="9.7109375" style="2" customWidth="1"/>
    <col min="7542" max="7542" width="8.5703125" style="2" customWidth="1"/>
    <col min="7543" max="7543" width="7.7109375" style="2" bestFit="1" customWidth="1"/>
    <col min="7544" max="7544" width="7.5703125" style="2" customWidth="1"/>
    <col min="7545" max="7545" width="8.28515625" style="2" bestFit="1" customWidth="1"/>
    <col min="7546" max="7546" width="8.28515625" style="2" customWidth="1"/>
    <col min="7547" max="7547" width="7.140625" style="2" bestFit="1" customWidth="1"/>
    <col min="7548" max="7548" width="9" style="2" customWidth="1"/>
    <col min="7549" max="7549" width="9.5703125" style="2" customWidth="1"/>
    <col min="7550" max="7550" width="9.7109375" style="2" customWidth="1"/>
    <col min="7551" max="7551" width="10.85546875" style="2" customWidth="1"/>
    <col min="7552" max="7552" width="10.42578125" style="2" customWidth="1"/>
    <col min="7553" max="7554" width="11.28515625" style="2" customWidth="1"/>
    <col min="7555" max="7555" width="11" style="2" customWidth="1"/>
    <col min="7556" max="7556" width="6.7109375" style="2" customWidth="1"/>
    <col min="7557" max="7559" width="9.85546875" style="2"/>
    <col min="7560" max="7560" width="13.140625" style="2" customWidth="1"/>
    <col min="7561" max="7637" width="9.85546875" style="2"/>
    <col min="7638" max="7638" width="27.5703125" style="2" customWidth="1"/>
    <col min="7639" max="7639" width="5.28515625" style="2" customWidth="1"/>
    <col min="7640" max="7641" width="9" style="2" customWidth="1"/>
    <col min="7642" max="7642" width="9.5703125" style="2" customWidth="1"/>
    <col min="7643" max="7643" width="9.7109375" style="2" customWidth="1"/>
    <col min="7644" max="7644" width="7.5703125" style="2" customWidth="1"/>
    <col min="7645" max="7645" width="10.42578125" style="2" customWidth="1"/>
    <col min="7646" max="7646" width="9.140625" style="2" bestFit="1" customWidth="1"/>
    <col min="7647" max="7647" width="7.28515625" style="2" customWidth="1"/>
    <col min="7648" max="7649" width="9.28515625" style="2" customWidth="1"/>
    <col min="7650" max="7650" width="9.5703125" style="2" customWidth="1"/>
    <col min="7651" max="7652" width="9" style="2" customWidth="1"/>
    <col min="7653" max="7653" width="8" style="2" customWidth="1"/>
    <col min="7654" max="7654" width="8.5703125" style="2" customWidth="1"/>
    <col min="7655" max="7655" width="8.28515625" style="2" customWidth="1"/>
    <col min="7656" max="7656" width="9.5703125" style="2" customWidth="1"/>
    <col min="7657" max="7657" width="8.42578125" style="2" customWidth="1"/>
    <col min="7658" max="7658" width="8.140625" style="2" customWidth="1"/>
    <col min="7659" max="7659" width="7.5703125" style="2" customWidth="1"/>
    <col min="7660" max="7660" width="9.140625" style="2" customWidth="1"/>
    <col min="7661" max="7661" width="9" style="2" customWidth="1"/>
    <col min="7662" max="7662" width="8.5703125" style="2" customWidth="1"/>
    <col min="7663" max="7663" width="7.85546875" style="2" customWidth="1"/>
    <col min="7664" max="7664" width="6.7109375" style="2" customWidth="1"/>
    <col min="7665" max="7665" width="5.7109375" style="2" customWidth="1"/>
    <col min="7666" max="7666" width="6.28515625" style="2" customWidth="1"/>
    <col min="7667" max="7667" width="6.5703125" style="2" customWidth="1"/>
    <col min="7668" max="7668" width="8.7109375" style="2" customWidth="1"/>
    <col min="7669" max="7669" width="9" style="2" customWidth="1"/>
    <col min="7670" max="7670" width="8.28515625" style="2" customWidth="1"/>
    <col min="7671" max="7671" width="8.42578125" style="2" customWidth="1"/>
    <col min="7672" max="7672" width="9.85546875" style="2" customWidth="1"/>
    <col min="7673" max="7673" width="10" style="2" customWidth="1"/>
    <col min="7674" max="7674" width="10.140625" style="2" customWidth="1"/>
    <col min="7675" max="7675" width="10.5703125" style="2" customWidth="1"/>
    <col min="7676" max="7676" width="8.140625" style="2" customWidth="1"/>
    <col min="7677" max="7677" width="7.85546875" style="2" customWidth="1"/>
    <col min="7678" max="7678" width="9" style="2" customWidth="1"/>
    <col min="7679" max="7679" width="10" style="2" customWidth="1"/>
    <col min="7680" max="7680" width="10.28515625" style="2" customWidth="1"/>
    <col min="7681" max="7681" width="10.140625" style="2" customWidth="1"/>
    <col min="7682" max="7682" width="10.5703125" style="2" customWidth="1"/>
    <col min="7683" max="7683" width="10.28515625" style="2" customWidth="1"/>
    <col min="7684" max="7684" width="9.7109375" style="2" customWidth="1"/>
    <col min="7685" max="7685" width="9.140625" style="2" bestFit="1" customWidth="1"/>
    <col min="7686" max="7686" width="9.28515625" style="2" customWidth="1"/>
    <col min="7687" max="7687" width="9" style="2" customWidth="1"/>
    <col min="7688" max="7688" width="8" style="2" customWidth="1"/>
    <col min="7689" max="7689" width="8.28515625" style="2" customWidth="1"/>
    <col min="7690" max="7690" width="7.85546875" style="2" customWidth="1"/>
    <col min="7691" max="7691" width="9" style="2" customWidth="1"/>
    <col min="7692" max="7692" width="8.42578125" style="2" customWidth="1"/>
    <col min="7693" max="7693" width="8.28515625" style="2" bestFit="1" customWidth="1"/>
    <col min="7694" max="7695" width="9" style="2" customWidth="1"/>
    <col min="7696" max="7696" width="7.140625" style="2" customWidth="1"/>
    <col min="7697" max="7697" width="9.140625" style="2" customWidth="1"/>
    <col min="7698" max="7698" width="7.7109375" style="2" customWidth="1"/>
    <col min="7699" max="7699" width="7.5703125" style="2" customWidth="1"/>
    <col min="7700" max="7700" width="10" style="2" customWidth="1"/>
    <col min="7701" max="7702" width="10.140625" style="2" bestFit="1" customWidth="1"/>
    <col min="7703" max="7703" width="12.7109375" style="2" bestFit="1" customWidth="1"/>
    <col min="7704" max="7704" width="9.140625" style="2" customWidth="1"/>
    <col min="7705" max="7705" width="9" style="2" customWidth="1"/>
    <col min="7706" max="7706" width="8.85546875" style="2" customWidth="1"/>
    <col min="7707" max="7707" width="10.42578125" style="2" customWidth="1"/>
    <col min="7708" max="7708" width="8.7109375" style="2" customWidth="1"/>
    <col min="7709" max="7709" width="8.140625" style="2" customWidth="1"/>
    <col min="7710" max="7710" width="7.7109375" style="2" customWidth="1"/>
    <col min="7711" max="7711" width="9.7109375" style="2" customWidth="1"/>
    <col min="7712" max="7712" width="6.5703125" style="2" bestFit="1" customWidth="1"/>
    <col min="7713" max="7714" width="7.5703125" style="2" customWidth="1"/>
    <col min="7715" max="7715" width="7.7109375" style="2" customWidth="1"/>
    <col min="7716" max="7717" width="9.28515625" style="2" bestFit="1" customWidth="1"/>
    <col min="7718" max="7718" width="9.5703125" style="2" customWidth="1"/>
    <col min="7719" max="7719" width="9.140625" style="2" customWidth="1"/>
    <col min="7720" max="7721" width="7.85546875" style="2" customWidth="1"/>
    <col min="7722" max="7722" width="9.42578125" style="2" customWidth="1"/>
    <col min="7723" max="7723" width="10" style="2" customWidth="1"/>
    <col min="7724" max="7724" width="6.42578125" style="2" customWidth="1"/>
    <col min="7725" max="7725" width="9" style="2" customWidth="1"/>
    <col min="7726" max="7726" width="8.85546875" style="2" customWidth="1"/>
    <col min="7727" max="7727" width="7.7109375" style="2" customWidth="1"/>
    <col min="7728" max="7728" width="9.7109375" style="2" customWidth="1"/>
    <col min="7729" max="7729" width="9.42578125" style="2" customWidth="1"/>
    <col min="7730" max="7730" width="9.85546875" style="2" customWidth="1"/>
    <col min="7731" max="7731" width="7.7109375" style="2" customWidth="1"/>
    <col min="7732" max="7732" width="8.5703125" style="2" customWidth="1"/>
    <col min="7733" max="7733" width="9.140625" style="2" customWidth="1"/>
    <col min="7734" max="7734" width="10.140625" style="2" customWidth="1"/>
    <col min="7735" max="7735" width="10.42578125" style="2" customWidth="1"/>
    <col min="7736" max="7737" width="7.85546875" style="2" customWidth="1"/>
    <col min="7738" max="7738" width="8.28515625" style="2" customWidth="1"/>
    <col min="7739" max="7739" width="10.42578125" style="2" customWidth="1"/>
    <col min="7740" max="7741" width="7.85546875" style="2" customWidth="1"/>
    <col min="7742" max="7742" width="8.28515625" style="2" customWidth="1"/>
    <col min="7743" max="7743" width="10.42578125" style="2" customWidth="1"/>
    <col min="7744" max="7744" width="8.5703125" style="2" customWidth="1"/>
    <col min="7745" max="7745" width="8.85546875" style="2" customWidth="1"/>
    <col min="7746" max="7746" width="8.7109375" style="2" customWidth="1"/>
    <col min="7747" max="7747" width="7.140625" style="2" bestFit="1" customWidth="1"/>
    <col min="7748" max="7748" width="7.7109375" style="2" bestFit="1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8.85546875" style="2" customWidth="1"/>
    <col min="7753" max="7753" width="9.42578125" style="2" customWidth="1"/>
    <col min="7754" max="7755" width="7.7109375" style="2" bestFit="1" customWidth="1"/>
    <col min="7756" max="7756" width="8.85546875" style="2" customWidth="1"/>
    <col min="7757" max="7757" width="9.42578125" style="2" customWidth="1"/>
    <col min="7758" max="7759" width="7.7109375" style="2" bestFit="1" customWidth="1"/>
    <col min="7760" max="7760" width="9.140625" style="2" customWidth="1"/>
    <col min="7761" max="7761" width="10" style="2" customWidth="1"/>
    <col min="7762" max="7762" width="9.5703125" style="2" customWidth="1"/>
    <col min="7763" max="7763" width="9.28515625" style="2" bestFit="1" customWidth="1"/>
    <col min="7764" max="7764" width="9.28515625" style="2" customWidth="1"/>
    <col min="7765" max="7765" width="9.28515625" style="2" bestFit="1" customWidth="1"/>
    <col min="7766" max="7766" width="10.28515625" style="2" customWidth="1"/>
    <col min="7767" max="7767" width="7.7109375" style="2" bestFit="1" customWidth="1"/>
    <col min="7768" max="7768" width="8" style="2" customWidth="1"/>
    <col min="7769" max="7769" width="8.5703125" style="2" customWidth="1"/>
    <col min="7770" max="7770" width="9.7109375" style="2" customWidth="1"/>
    <col min="7771" max="7771" width="9.42578125" style="2" customWidth="1"/>
    <col min="7772" max="7772" width="9.140625" style="2" customWidth="1"/>
    <col min="7773" max="7773" width="11.42578125" style="2" customWidth="1"/>
    <col min="7774" max="7774" width="12.5703125" style="2" customWidth="1"/>
    <col min="7775" max="7775" width="10.28515625" style="2" customWidth="1"/>
    <col min="7776" max="7776" width="7.7109375" style="2" bestFit="1" customWidth="1"/>
    <col min="7777" max="7777" width="8.28515625" style="2" bestFit="1" customWidth="1"/>
    <col min="7778" max="7779" width="7.7109375" style="2" bestFit="1" customWidth="1"/>
    <col min="7780" max="7780" width="6.5703125" style="2" bestFit="1" customWidth="1"/>
    <col min="7781" max="7781" width="8.28515625" style="2" bestFit="1" customWidth="1"/>
    <col min="7782" max="7782" width="6.5703125" style="2" bestFit="1" customWidth="1"/>
    <col min="7783" max="7783" width="7.140625" style="2" bestFit="1" customWidth="1"/>
    <col min="7784" max="7784" width="7.7109375" style="2" bestFit="1" customWidth="1"/>
    <col min="7785" max="7785" width="8.28515625" style="2" bestFit="1" customWidth="1"/>
    <col min="7786" max="7788" width="7.7109375" style="2" bestFit="1" customWidth="1"/>
    <col min="7789" max="7789" width="8.28515625" style="2" bestFit="1" customWidth="1"/>
    <col min="7790" max="7791" width="7.7109375" style="2" bestFit="1" customWidth="1"/>
    <col min="7792" max="7793" width="9.85546875" style="2" customWidth="1"/>
    <col min="7794" max="7794" width="8.5703125" style="2" customWidth="1"/>
    <col min="7795" max="7796" width="8.85546875" style="2" customWidth="1"/>
    <col min="7797" max="7797" width="9.7109375" style="2" customWidth="1"/>
    <col min="7798" max="7798" width="8.5703125" style="2" customWidth="1"/>
    <col min="7799" max="7799" width="7.7109375" style="2" bestFit="1" customWidth="1"/>
    <col min="7800" max="7800" width="7.5703125" style="2" customWidth="1"/>
    <col min="7801" max="7801" width="8.28515625" style="2" bestFit="1" customWidth="1"/>
    <col min="7802" max="7802" width="8.28515625" style="2" customWidth="1"/>
    <col min="7803" max="7803" width="7.140625" style="2" bestFit="1" customWidth="1"/>
    <col min="7804" max="7804" width="9" style="2" customWidth="1"/>
    <col min="7805" max="7805" width="9.5703125" style="2" customWidth="1"/>
    <col min="7806" max="7806" width="9.7109375" style="2" customWidth="1"/>
    <col min="7807" max="7807" width="10.85546875" style="2" customWidth="1"/>
    <col min="7808" max="7808" width="10.42578125" style="2" customWidth="1"/>
    <col min="7809" max="7810" width="11.28515625" style="2" customWidth="1"/>
    <col min="7811" max="7811" width="11" style="2" customWidth="1"/>
    <col min="7812" max="7812" width="6.7109375" style="2" customWidth="1"/>
    <col min="7813" max="7815" width="9.85546875" style="2"/>
    <col min="7816" max="7816" width="13.140625" style="2" customWidth="1"/>
    <col min="7817" max="7893" width="9.85546875" style="2"/>
    <col min="7894" max="7894" width="27.5703125" style="2" customWidth="1"/>
    <col min="7895" max="7895" width="5.28515625" style="2" customWidth="1"/>
    <col min="7896" max="7897" width="9" style="2" customWidth="1"/>
    <col min="7898" max="7898" width="9.5703125" style="2" customWidth="1"/>
    <col min="7899" max="7899" width="9.7109375" style="2" customWidth="1"/>
    <col min="7900" max="7900" width="7.5703125" style="2" customWidth="1"/>
    <col min="7901" max="7901" width="10.42578125" style="2" customWidth="1"/>
    <col min="7902" max="7902" width="9.140625" style="2" bestFit="1" customWidth="1"/>
    <col min="7903" max="7903" width="7.28515625" style="2" customWidth="1"/>
    <col min="7904" max="7905" width="9.28515625" style="2" customWidth="1"/>
    <col min="7906" max="7906" width="9.5703125" style="2" customWidth="1"/>
    <col min="7907" max="7908" width="9" style="2" customWidth="1"/>
    <col min="7909" max="7909" width="8" style="2" customWidth="1"/>
    <col min="7910" max="7910" width="8.5703125" style="2" customWidth="1"/>
    <col min="7911" max="7911" width="8.28515625" style="2" customWidth="1"/>
    <col min="7912" max="7912" width="9.5703125" style="2" customWidth="1"/>
    <col min="7913" max="7913" width="8.42578125" style="2" customWidth="1"/>
    <col min="7914" max="7914" width="8.140625" style="2" customWidth="1"/>
    <col min="7915" max="7915" width="7.5703125" style="2" customWidth="1"/>
    <col min="7916" max="7916" width="9.140625" style="2" customWidth="1"/>
    <col min="7917" max="7917" width="9" style="2" customWidth="1"/>
    <col min="7918" max="7918" width="8.5703125" style="2" customWidth="1"/>
    <col min="7919" max="7919" width="7.85546875" style="2" customWidth="1"/>
    <col min="7920" max="7920" width="6.7109375" style="2" customWidth="1"/>
    <col min="7921" max="7921" width="5.7109375" style="2" customWidth="1"/>
    <col min="7922" max="7922" width="6.28515625" style="2" customWidth="1"/>
    <col min="7923" max="7923" width="6.5703125" style="2" customWidth="1"/>
    <col min="7924" max="7924" width="8.7109375" style="2" customWidth="1"/>
    <col min="7925" max="7925" width="9" style="2" customWidth="1"/>
    <col min="7926" max="7926" width="8.28515625" style="2" customWidth="1"/>
    <col min="7927" max="7927" width="8.42578125" style="2" customWidth="1"/>
    <col min="7928" max="7928" width="9.85546875" style="2" customWidth="1"/>
    <col min="7929" max="7929" width="10" style="2" customWidth="1"/>
    <col min="7930" max="7930" width="10.140625" style="2" customWidth="1"/>
    <col min="7931" max="7931" width="10.5703125" style="2" customWidth="1"/>
    <col min="7932" max="7932" width="8.140625" style="2" customWidth="1"/>
    <col min="7933" max="7933" width="7.85546875" style="2" customWidth="1"/>
    <col min="7934" max="7934" width="9" style="2" customWidth="1"/>
    <col min="7935" max="7935" width="10" style="2" customWidth="1"/>
    <col min="7936" max="7936" width="10.28515625" style="2" customWidth="1"/>
    <col min="7937" max="7937" width="10.140625" style="2" customWidth="1"/>
    <col min="7938" max="7938" width="10.5703125" style="2" customWidth="1"/>
    <col min="7939" max="7939" width="10.28515625" style="2" customWidth="1"/>
    <col min="7940" max="7940" width="9.7109375" style="2" customWidth="1"/>
    <col min="7941" max="7941" width="9.140625" style="2" bestFit="1" customWidth="1"/>
    <col min="7942" max="7942" width="9.28515625" style="2" customWidth="1"/>
    <col min="7943" max="7943" width="9" style="2" customWidth="1"/>
    <col min="7944" max="7944" width="8" style="2" customWidth="1"/>
    <col min="7945" max="7945" width="8.28515625" style="2" customWidth="1"/>
    <col min="7946" max="7946" width="7.85546875" style="2" customWidth="1"/>
    <col min="7947" max="7947" width="9" style="2" customWidth="1"/>
    <col min="7948" max="7948" width="8.42578125" style="2" customWidth="1"/>
    <col min="7949" max="7949" width="8.28515625" style="2" bestFit="1" customWidth="1"/>
    <col min="7950" max="7951" width="9" style="2" customWidth="1"/>
    <col min="7952" max="7952" width="7.140625" style="2" customWidth="1"/>
    <col min="7953" max="7953" width="9.140625" style="2" customWidth="1"/>
    <col min="7954" max="7954" width="7.7109375" style="2" customWidth="1"/>
    <col min="7955" max="7955" width="7.5703125" style="2" customWidth="1"/>
    <col min="7956" max="7956" width="10" style="2" customWidth="1"/>
    <col min="7957" max="7958" width="10.140625" style="2" bestFit="1" customWidth="1"/>
    <col min="7959" max="7959" width="12.7109375" style="2" bestFit="1" customWidth="1"/>
    <col min="7960" max="7960" width="9.140625" style="2" customWidth="1"/>
    <col min="7961" max="7961" width="9" style="2" customWidth="1"/>
    <col min="7962" max="7962" width="8.85546875" style="2" customWidth="1"/>
    <col min="7963" max="7963" width="10.42578125" style="2" customWidth="1"/>
    <col min="7964" max="7964" width="8.7109375" style="2" customWidth="1"/>
    <col min="7965" max="7965" width="8.140625" style="2" customWidth="1"/>
    <col min="7966" max="7966" width="7.7109375" style="2" customWidth="1"/>
    <col min="7967" max="7967" width="9.7109375" style="2" customWidth="1"/>
    <col min="7968" max="7968" width="6.5703125" style="2" bestFit="1" customWidth="1"/>
    <col min="7969" max="7970" width="7.5703125" style="2" customWidth="1"/>
    <col min="7971" max="7971" width="7.7109375" style="2" customWidth="1"/>
    <col min="7972" max="7973" width="9.28515625" style="2" bestFit="1" customWidth="1"/>
    <col min="7974" max="7974" width="9.5703125" style="2" customWidth="1"/>
    <col min="7975" max="7975" width="9.140625" style="2" customWidth="1"/>
    <col min="7976" max="7977" width="7.85546875" style="2" customWidth="1"/>
    <col min="7978" max="7978" width="9.42578125" style="2" customWidth="1"/>
    <col min="7979" max="7979" width="10" style="2" customWidth="1"/>
    <col min="7980" max="7980" width="6.42578125" style="2" customWidth="1"/>
    <col min="7981" max="7981" width="9" style="2" customWidth="1"/>
    <col min="7982" max="7982" width="8.85546875" style="2" customWidth="1"/>
    <col min="7983" max="7983" width="7.7109375" style="2" customWidth="1"/>
    <col min="7984" max="7984" width="9.7109375" style="2" customWidth="1"/>
    <col min="7985" max="7985" width="9.42578125" style="2" customWidth="1"/>
    <col min="7986" max="7986" width="9.85546875" style="2" customWidth="1"/>
    <col min="7987" max="7987" width="7.7109375" style="2" customWidth="1"/>
    <col min="7988" max="7988" width="8.5703125" style="2" customWidth="1"/>
    <col min="7989" max="7989" width="9.140625" style="2" customWidth="1"/>
    <col min="7990" max="7990" width="10.140625" style="2" customWidth="1"/>
    <col min="7991" max="7991" width="10.42578125" style="2" customWidth="1"/>
    <col min="7992" max="7993" width="7.85546875" style="2" customWidth="1"/>
    <col min="7994" max="7994" width="8.28515625" style="2" customWidth="1"/>
    <col min="7995" max="7995" width="10.42578125" style="2" customWidth="1"/>
    <col min="7996" max="7997" width="7.85546875" style="2" customWidth="1"/>
    <col min="7998" max="7998" width="8.28515625" style="2" customWidth="1"/>
    <col min="7999" max="7999" width="10.42578125" style="2" customWidth="1"/>
    <col min="8000" max="8000" width="8.5703125" style="2" customWidth="1"/>
    <col min="8001" max="8001" width="8.85546875" style="2" customWidth="1"/>
    <col min="8002" max="8002" width="8.7109375" style="2" customWidth="1"/>
    <col min="8003" max="8003" width="7.140625" style="2" bestFit="1" customWidth="1"/>
    <col min="8004" max="8004" width="7.7109375" style="2" bestFit="1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8.85546875" style="2" customWidth="1"/>
    <col min="8009" max="8009" width="9.42578125" style="2" customWidth="1"/>
    <col min="8010" max="8011" width="7.7109375" style="2" bestFit="1" customWidth="1"/>
    <col min="8012" max="8012" width="8.85546875" style="2" customWidth="1"/>
    <col min="8013" max="8013" width="9.42578125" style="2" customWidth="1"/>
    <col min="8014" max="8015" width="7.7109375" style="2" bestFit="1" customWidth="1"/>
    <col min="8016" max="8016" width="9.140625" style="2" customWidth="1"/>
    <col min="8017" max="8017" width="10" style="2" customWidth="1"/>
    <col min="8018" max="8018" width="9.5703125" style="2" customWidth="1"/>
    <col min="8019" max="8019" width="9.28515625" style="2" bestFit="1" customWidth="1"/>
    <col min="8020" max="8020" width="9.28515625" style="2" customWidth="1"/>
    <col min="8021" max="8021" width="9.28515625" style="2" bestFit="1" customWidth="1"/>
    <col min="8022" max="8022" width="10.28515625" style="2" customWidth="1"/>
    <col min="8023" max="8023" width="7.7109375" style="2" bestFit="1" customWidth="1"/>
    <col min="8024" max="8024" width="8" style="2" customWidth="1"/>
    <col min="8025" max="8025" width="8.5703125" style="2" customWidth="1"/>
    <col min="8026" max="8026" width="9.7109375" style="2" customWidth="1"/>
    <col min="8027" max="8027" width="9.42578125" style="2" customWidth="1"/>
    <col min="8028" max="8028" width="9.140625" style="2" customWidth="1"/>
    <col min="8029" max="8029" width="11.42578125" style="2" customWidth="1"/>
    <col min="8030" max="8030" width="12.5703125" style="2" customWidth="1"/>
    <col min="8031" max="8031" width="10.28515625" style="2" customWidth="1"/>
    <col min="8032" max="8032" width="7.7109375" style="2" bestFit="1" customWidth="1"/>
    <col min="8033" max="8033" width="8.28515625" style="2" bestFit="1" customWidth="1"/>
    <col min="8034" max="8035" width="7.7109375" style="2" bestFit="1" customWidth="1"/>
    <col min="8036" max="8036" width="6.5703125" style="2" bestFit="1" customWidth="1"/>
    <col min="8037" max="8037" width="8.28515625" style="2" bestFit="1" customWidth="1"/>
    <col min="8038" max="8038" width="6.5703125" style="2" bestFit="1" customWidth="1"/>
    <col min="8039" max="8039" width="7.140625" style="2" bestFit="1" customWidth="1"/>
    <col min="8040" max="8040" width="7.7109375" style="2" bestFit="1" customWidth="1"/>
    <col min="8041" max="8041" width="8.28515625" style="2" bestFit="1" customWidth="1"/>
    <col min="8042" max="8044" width="7.7109375" style="2" bestFit="1" customWidth="1"/>
    <col min="8045" max="8045" width="8.28515625" style="2" bestFit="1" customWidth="1"/>
    <col min="8046" max="8047" width="7.7109375" style="2" bestFit="1" customWidth="1"/>
    <col min="8048" max="8049" width="9.85546875" style="2" customWidth="1"/>
    <col min="8050" max="8050" width="8.5703125" style="2" customWidth="1"/>
    <col min="8051" max="8052" width="8.85546875" style="2" customWidth="1"/>
    <col min="8053" max="8053" width="9.7109375" style="2" customWidth="1"/>
    <col min="8054" max="8054" width="8.5703125" style="2" customWidth="1"/>
    <col min="8055" max="8055" width="7.7109375" style="2" bestFit="1" customWidth="1"/>
    <col min="8056" max="8056" width="7.5703125" style="2" customWidth="1"/>
    <col min="8057" max="8057" width="8.28515625" style="2" bestFit="1" customWidth="1"/>
    <col min="8058" max="8058" width="8.28515625" style="2" customWidth="1"/>
    <col min="8059" max="8059" width="7.140625" style="2" bestFit="1" customWidth="1"/>
    <col min="8060" max="8060" width="9" style="2" customWidth="1"/>
    <col min="8061" max="8061" width="9.5703125" style="2" customWidth="1"/>
    <col min="8062" max="8062" width="9.7109375" style="2" customWidth="1"/>
    <col min="8063" max="8063" width="10.85546875" style="2" customWidth="1"/>
    <col min="8064" max="8064" width="10.42578125" style="2" customWidth="1"/>
    <col min="8065" max="8066" width="11.28515625" style="2" customWidth="1"/>
    <col min="8067" max="8067" width="11" style="2" customWidth="1"/>
    <col min="8068" max="8068" width="6.7109375" style="2" customWidth="1"/>
    <col min="8069" max="8071" width="9.85546875" style="2"/>
    <col min="8072" max="8072" width="13.140625" style="2" customWidth="1"/>
    <col min="8073" max="8149" width="9.85546875" style="2"/>
    <col min="8150" max="8150" width="27.5703125" style="2" customWidth="1"/>
    <col min="8151" max="8151" width="5.28515625" style="2" customWidth="1"/>
    <col min="8152" max="8153" width="9" style="2" customWidth="1"/>
    <col min="8154" max="8154" width="9.5703125" style="2" customWidth="1"/>
    <col min="8155" max="8155" width="9.7109375" style="2" customWidth="1"/>
    <col min="8156" max="8156" width="7.5703125" style="2" customWidth="1"/>
    <col min="8157" max="8157" width="10.42578125" style="2" customWidth="1"/>
    <col min="8158" max="8158" width="9.140625" style="2" bestFit="1" customWidth="1"/>
    <col min="8159" max="8159" width="7.28515625" style="2" customWidth="1"/>
    <col min="8160" max="8161" width="9.28515625" style="2" customWidth="1"/>
    <col min="8162" max="8162" width="9.5703125" style="2" customWidth="1"/>
    <col min="8163" max="8164" width="9" style="2" customWidth="1"/>
    <col min="8165" max="8165" width="8" style="2" customWidth="1"/>
    <col min="8166" max="8166" width="8.5703125" style="2" customWidth="1"/>
    <col min="8167" max="8167" width="8.28515625" style="2" customWidth="1"/>
    <col min="8168" max="8168" width="9.5703125" style="2" customWidth="1"/>
    <col min="8169" max="8169" width="8.42578125" style="2" customWidth="1"/>
    <col min="8170" max="8170" width="8.140625" style="2" customWidth="1"/>
    <col min="8171" max="8171" width="7.5703125" style="2" customWidth="1"/>
    <col min="8172" max="8172" width="9.140625" style="2" customWidth="1"/>
    <col min="8173" max="8173" width="9" style="2" customWidth="1"/>
    <col min="8174" max="8174" width="8.5703125" style="2" customWidth="1"/>
    <col min="8175" max="8175" width="7.85546875" style="2" customWidth="1"/>
    <col min="8176" max="8176" width="6.7109375" style="2" customWidth="1"/>
    <col min="8177" max="8177" width="5.7109375" style="2" customWidth="1"/>
    <col min="8178" max="8178" width="6.28515625" style="2" customWidth="1"/>
    <col min="8179" max="8179" width="6.5703125" style="2" customWidth="1"/>
    <col min="8180" max="8180" width="8.7109375" style="2" customWidth="1"/>
    <col min="8181" max="8181" width="9" style="2" customWidth="1"/>
    <col min="8182" max="8182" width="8.28515625" style="2" customWidth="1"/>
    <col min="8183" max="8183" width="8.42578125" style="2" customWidth="1"/>
    <col min="8184" max="8184" width="9.85546875" style="2" customWidth="1"/>
    <col min="8185" max="8185" width="10" style="2" customWidth="1"/>
    <col min="8186" max="8186" width="10.140625" style="2" customWidth="1"/>
    <col min="8187" max="8187" width="10.5703125" style="2" customWidth="1"/>
    <col min="8188" max="8188" width="8.140625" style="2" customWidth="1"/>
    <col min="8189" max="8189" width="7.85546875" style="2" customWidth="1"/>
    <col min="8190" max="8190" width="9" style="2" customWidth="1"/>
    <col min="8191" max="8191" width="10" style="2" customWidth="1"/>
    <col min="8192" max="8192" width="10.28515625" style="2" customWidth="1"/>
    <col min="8193" max="8193" width="10.140625" style="2" customWidth="1"/>
    <col min="8194" max="8194" width="10.5703125" style="2" customWidth="1"/>
    <col min="8195" max="8195" width="10.28515625" style="2" customWidth="1"/>
    <col min="8196" max="8196" width="9.7109375" style="2" customWidth="1"/>
    <col min="8197" max="8197" width="9.140625" style="2" bestFit="1" customWidth="1"/>
    <col min="8198" max="8198" width="9.28515625" style="2" customWidth="1"/>
    <col min="8199" max="8199" width="9" style="2" customWidth="1"/>
    <col min="8200" max="8200" width="8" style="2" customWidth="1"/>
    <col min="8201" max="8201" width="8.28515625" style="2" customWidth="1"/>
    <col min="8202" max="8202" width="7.85546875" style="2" customWidth="1"/>
    <col min="8203" max="8203" width="9" style="2" customWidth="1"/>
    <col min="8204" max="8204" width="8.42578125" style="2" customWidth="1"/>
    <col min="8205" max="8205" width="8.28515625" style="2" bestFit="1" customWidth="1"/>
    <col min="8206" max="8207" width="9" style="2" customWidth="1"/>
    <col min="8208" max="8208" width="7.140625" style="2" customWidth="1"/>
    <col min="8209" max="8209" width="9.140625" style="2" customWidth="1"/>
    <col min="8210" max="8210" width="7.7109375" style="2" customWidth="1"/>
    <col min="8211" max="8211" width="7.5703125" style="2" customWidth="1"/>
    <col min="8212" max="8212" width="10" style="2" customWidth="1"/>
    <col min="8213" max="8214" width="10.140625" style="2" bestFit="1" customWidth="1"/>
    <col min="8215" max="8215" width="12.7109375" style="2" bestFit="1" customWidth="1"/>
    <col min="8216" max="8216" width="9.140625" style="2" customWidth="1"/>
    <col min="8217" max="8217" width="9" style="2" customWidth="1"/>
    <col min="8218" max="8218" width="8.85546875" style="2" customWidth="1"/>
    <col min="8219" max="8219" width="10.42578125" style="2" customWidth="1"/>
    <col min="8220" max="8220" width="8.7109375" style="2" customWidth="1"/>
    <col min="8221" max="8221" width="8.140625" style="2" customWidth="1"/>
    <col min="8222" max="8222" width="7.7109375" style="2" customWidth="1"/>
    <col min="8223" max="8223" width="9.7109375" style="2" customWidth="1"/>
    <col min="8224" max="8224" width="6.5703125" style="2" bestFit="1" customWidth="1"/>
    <col min="8225" max="8226" width="7.5703125" style="2" customWidth="1"/>
    <col min="8227" max="8227" width="7.7109375" style="2" customWidth="1"/>
    <col min="8228" max="8229" width="9.28515625" style="2" bestFit="1" customWidth="1"/>
    <col min="8230" max="8230" width="9.5703125" style="2" customWidth="1"/>
    <col min="8231" max="8231" width="9.140625" style="2" customWidth="1"/>
    <col min="8232" max="8233" width="7.85546875" style="2" customWidth="1"/>
    <col min="8234" max="8234" width="9.42578125" style="2" customWidth="1"/>
    <col min="8235" max="8235" width="10" style="2" customWidth="1"/>
    <col min="8236" max="8236" width="6.42578125" style="2" customWidth="1"/>
    <col min="8237" max="8237" width="9" style="2" customWidth="1"/>
    <col min="8238" max="8238" width="8.85546875" style="2" customWidth="1"/>
    <col min="8239" max="8239" width="7.7109375" style="2" customWidth="1"/>
    <col min="8240" max="8240" width="9.7109375" style="2" customWidth="1"/>
    <col min="8241" max="8241" width="9.42578125" style="2" customWidth="1"/>
    <col min="8242" max="8242" width="9.85546875" style="2" customWidth="1"/>
    <col min="8243" max="8243" width="7.7109375" style="2" customWidth="1"/>
    <col min="8244" max="8244" width="8.5703125" style="2" customWidth="1"/>
    <col min="8245" max="8245" width="9.140625" style="2" customWidth="1"/>
    <col min="8246" max="8246" width="10.140625" style="2" customWidth="1"/>
    <col min="8247" max="8247" width="10.42578125" style="2" customWidth="1"/>
    <col min="8248" max="8249" width="7.85546875" style="2" customWidth="1"/>
    <col min="8250" max="8250" width="8.28515625" style="2" customWidth="1"/>
    <col min="8251" max="8251" width="10.42578125" style="2" customWidth="1"/>
    <col min="8252" max="8253" width="7.85546875" style="2" customWidth="1"/>
    <col min="8254" max="8254" width="8.28515625" style="2" customWidth="1"/>
    <col min="8255" max="8255" width="10.42578125" style="2" customWidth="1"/>
    <col min="8256" max="8256" width="8.5703125" style="2" customWidth="1"/>
    <col min="8257" max="8257" width="8.85546875" style="2" customWidth="1"/>
    <col min="8258" max="8258" width="8.7109375" style="2" customWidth="1"/>
    <col min="8259" max="8259" width="7.140625" style="2" bestFit="1" customWidth="1"/>
    <col min="8260" max="8260" width="7.7109375" style="2" bestFit="1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8.85546875" style="2" customWidth="1"/>
    <col min="8265" max="8265" width="9.42578125" style="2" customWidth="1"/>
    <col min="8266" max="8267" width="7.7109375" style="2" bestFit="1" customWidth="1"/>
    <col min="8268" max="8268" width="8.85546875" style="2" customWidth="1"/>
    <col min="8269" max="8269" width="9.42578125" style="2" customWidth="1"/>
    <col min="8270" max="8271" width="7.7109375" style="2" bestFit="1" customWidth="1"/>
    <col min="8272" max="8272" width="9.140625" style="2" customWidth="1"/>
    <col min="8273" max="8273" width="10" style="2" customWidth="1"/>
    <col min="8274" max="8274" width="9.5703125" style="2" customWidth="1"/>
    <col min="8275" max="8275" width="9.28515625" style="2" bestFit="1" customWidth="1"/>
    <col min="8276" max="8276" width="9.28515625" style="2" customWidth="1"/>
    <col min="8277" max="8277" width="9.28515625" style="2" bestFit="1" customWidth="1"/>
    <col min="8278" max="8278" width="10.28515625" style="2" customWidth="1"/>
    <col min="8279" max="8279" width="7.7109375" style="2" bestFit="1" customWidth="1"/>
    <col min="8280" max="8280" width="8" style="2" customWidth="1"/>
    <col min="8281" max="8281" width="8.5703125" style="2" customWidth="1"/>
    <col min="8282" max="8282" width="9.7109375" style="2" customWidth="1"/>
    <col min="8283" max="8283" width="9.42578125" style="2" customWidth="1"/>
    <col min="8284" max="8284" width="9.140625" style="2" customWidth="1"/>
    <col min="8285" max="8285" width="11.42578125" style="2" customWidth="1"/>
    <col min="8286" max="8286" width="12.5703125" style="2" customWidth="1"/>
    <col min="8287" max="8287" width="10.28515625" style="2" customWidth="1"/>
    <col min="8288" max="8288" width="7.7109375" style="2" bestFit="1" customWidth="1"/>
    <col min="8289" max="8289" width="8.28515625" style="2" bestFit="1" customWidth="1"/>
    <col min="8290" max="8291" width="7.7109375" style="2" bestFit="1" customWidth="1"/>
    <col min="8292" max="8292" width="6.5703125" style="2" bestFit="1" customWidth="1"/>
    <col min="8293" max="8293" width="8.28515625" style="2" bestFit="1" customWidth="1"/>
    <col min="8294" max="8294" width="6.5703125" style="2" bestFit="1" customWidth="1"/>
    <col min="8295" max="8295" width="7.140625" style="2" bestFit="1" customWidth="1"/>
    <col min="8296" max="8296" width="7.7109375" style="2" bestFit="1" customWidth="1"/>
    <col min="8297" max="8297" width="8.28515625" style="2" bestFit="1" customWidth="1"/>
    <col min="8298" max="8300" width="7.7109375" style="2" bestFit="1" customWidth="1"/>
    <col min="8301" max="8301" width="8.28515625" style="2" bestFit="1" customWidth="1"/>
    <col min="8302" max="8303" width="7.7109375" style="2" bestFit="1" customWidth="1"/>
    <col min="8304" max="8305" width="9.85546875" style="2" customWidth="1"/>
    <col min="8306" max="8306" width="8.5703125" style="2" customWidth="1"/>
    <col min="8307" max="8308" width="8.85546875" style="2" customWidth="1"/>
    <col min="8309" max="8309" width="9.7109375" style="2" customWidth="1"/>
    <col min="8310" max="8310" width="8.5703125" style="2" customWidth="1"/>
    <col min="8311" max="8311" width="7.7109375" style="2" bestFit="1" customWidth="1"/>
    <col min="8312" max="8312" width="7.5703125" style="2" customWidth="1"/>
    <col min="8313" max="8313" width="8.28515625" style="2" bestFit="1" customWidth="1"/>
    <col min="8314" max="8314" width="8.28515625" style="2" customWidth="1"/>
    <col min="8315" max="8315" width="7.140625" style="2" bestFit="1" customWidth="1"/>
    <col min="8316" max="8316" width="9" style="2" customWidth="1"/>
    <col min="8317" max="8317" width="9.5703125" style="2" customWidth="1"/>
    <col min="8318" max="8318" width="9.7109375" style="2" customWidth="1"/>
    <col min="8319" max="8319" width="10.85546875" style="2" customWidth="1"/>
    <col min="8320" max="8320" width="10.42578125" style="2" customWidth="1"/>
    <col min="8321" max="8322" width="11.28515625" style="2" customWidth="1"/>
    <col min="8323" max="8323" width="11" style="2" customWidth="1"/>
    <col min="8324" max="8324" width="6.7109375" style="2" customWidth="1"/>
    <col min="8325" max="8327" width="9.85546875" style="2"/>
    <col min="8328" max="8328" width="13.140625" style="2" customWidth="1"/>
    <col min="8329" max="8405" width="9.85546875" style="2"/>
    <col min="8406" max="8406" width="27.5703125" style="2" customWidth="1"/>
    <col min="8407" max="8407" width="5.28515625" style="2" customWidth="1"/>
    <col min="8408" max="8409" width="9" style="2" customWidth="1"/>
    <col min="8410" max="8410" width="9.5703125" style="2" customWidth="1"/>
    <col min="8411" max="8411" width="9.7109375" style="2" customWidth="1"/>
    <col min="8412" max="8412" width="7.5703125" style="2" customWidth="1"/>
    <col min="8413" max="8413" width="10.42578125" style="2" customWidth="1"/>
    <col min="8414" max="8414" width="9.140625" style="2" bestFit="1" customWidth="1"/>
    <col min="8415" max="8415" width="7.28515625" style="2" customWidth="1"/>
    <col min="8416" max="8417" width="9.28515625" style="2" customWidth="1"/>
    <col min="8418" max="8418" width="9.5703125" style="2" customWidth="1"/>
    <col min="8419" max="8420" width="9" style="2" customWidth="1"/>
    <col min="8421" max="8421" width="8" style="2" customWidth="1"/>
    <col min="8422" max="8422" width="8.5703125" style="2" customWidth="1"/>
    <col min="8423" max="8423" width="8.28515625" style="2" customWidth="1"/>
    <col min="8424" max="8424" width="9.5703125" style="2" customWidth="1"/>
    <col min="8425" max="8425" width="8.42578125" style="2" customWidth="1"/>
    <col min="8426" max="8426" width="8.140625" style="2" customWidth="1"/>
    <col min="8427" max="8427" width="7.5703125" style="2" customWidth="1"/>
    <col min="8428" max="8428" width="9.140625" style="2" customWidth="1"/>
    <col min="8429" max="8429" width="9" style="2" customWidth="1"/>
    <col min="8430" max="8430" width="8.5703125" style="2" customWidth="1"/>
    <col min="8431" max="8431" width="7.85546875" style="2" customWidth="1"/>
    <col min="8432" max="8432" width="6.7109375" style="2" customWidth="1"/>
    <col min="8433" max="8433" width="5.7109375" style="2" customWidth="1"/>
    <col min="8434" max="8434" width="6.28515625" style="2" customWidth="1"/>
    <col min="8435" max="8435" width="6.5703125" style="2" customWidth="1"/>
    <col min="8436" max="8436" width="8.7109375" style="2" customWidth="1"/>
    <col min="8437" max="8437" width="9" style="2" customWidth="1"/>
    <col min="8438" max="8438" width="8.28515625" style="2" customWidth="1"/>
    <col min="8439" max="8439" width="8.42578125" style="2" customWidth="1"/>
    <col min="8440" max="8440" width="9.85546875" style="2" customWidth="1"/>
    <col min="8441" max="8441" width="10" style="2" customWidth="1"/>
    <col min="8442" max="8442" width="10.140625" style="2" customWidth="1"/>
    <col min="8443" max="8443" width="10.5703125" style="2" customWidth="1"/>
    <col min="8444" max="8444" width="8.140625" style="2" customWidth="1"/>
    <col min="8445" max="8445" width="7.85546875" style="2" customWidth="1"/>
    <col min="8446" max="8446" width="9" style="2" customWidth="1"/>
    <col min="8447" max="8447" width="10" style="2" customWidth="1"/>
    <col min="8448" max="8448" width="10.28515625" style="2" customWidth="1"/>
    <col min="8449" max="8449" width="10.140625" style="2" customWidth="1"/>
    <col min="8450" max="8450" width="10.5703125" style="2" customWidth="1"/>
    <col min="8451" max="8451" width="10.28515625" style="2" customWidth="1"/>
    <col min="8452" max="8452" width="9.7109375" style="2" customWidth="1"/>
    <col min="8453" max="8453" width="9.140625" style="2" bestFit="1" customWidth="1"/>
    <col min="8454" max="8454" width="9.28515625" style="2" customWidth="1"/>
    <col min="8455" max="8455" width="9" style="2" customWidth="1"/>
    <col min="8456" max="8456" width="8" style="2" customWidth="1"/>
    <col min="8457" max="8457" width="8.28515625" style="2" customWidth="1"/>
    <col min="8458" max="8458" width="7.85546875" style="2" customWidth="1"/>
    <col min="8459" max="8459" width="9" style="2" customWidth="1"/>
    <col min="8460" max="8460" width="8.42578125" style="2" customWidth="1"/>
    <col min="8461" max="8461" width="8.28515625" style="2" bestFit="1" customWidth="1"/>
    <col min="8462" max="8463" width="9" style="2" customWidth="1"/>
    <col min="8464" max="8464" width="7.140625" style="2" customWidth="1"/>
    <col min="8465" max="8465" width="9.140625" style="2" customWidth="1"/>
    <col min="8466" max="8466" width="7.7109375" style="2" customWidth="1"/>
    <col min="8467" max="8467" width="7.5703125" style="2" customWidth="1"/>
    <col min="8468" max="8468" width="10" style="2" customWidth="1"/>
    <col min="8469" max="8470" width="10.140625" style="2" bestFit="1" customWidth="1"/>
    <col min="8471" max="8471" width="12.7109375" style="2" bestFit="1" customWidth="1"/>
    <col min="8472" max="8472" width="9.140625" style="2" customWidth="1"/>
    <col min="8473" max="8473" width="9" style="2" customWidth="1"/>
    <col min="8474" max="8474" width="8.85546875" style="2" customWidth="1"/>
    <col min="8475" max="8475" width="10.42578125" style="2" customWidth="1"/>
    <col min="8476" max="8476" width="8.7109375" style="2" customWidth="1"/>
    <col min="8477" max="8477" width="8.140625" style="2" customWidth="1"/>
    <col min="8478" max="8478" width="7.7109375" style="2" customWidth="1"/>
    <col min="8479" max="8479" width="9.7109375" style="2" customWidth="1"/>
    <col min="8480" max="8480" width="6.5703125" style="2" bestFit="1" customWidth="1"/>
    <col min="8481" max="8482" width="7.5703125" style="2" customWidth="1"/>
    <col min="8483" max="8483" width="7.7109375" style="2" customWidth="1"/>
    <col min="8484" max="8485" width="9.28515625" style="2" bestFit="1" customWidth="1"/>
    <col min="8486" max="8486" width="9.5703125" style="2" customWidth="1"/>
    <col min="8487" max="8487" width="9.140625" style="2" customWidth="1"/>
    <col min="8488" max="8489" width="7.85546875" style="2" customWidth="1"/>
    <col min="8490" max="8490" width="9.42578125" style="2" customWidth="1"/>
    <col min="8491" max="8491" width="10" style="2" customWidth="1"/>
    <col min="8492" max="8492" width="6.42578125" style="2" customWidth="1"/>
    <col min="8493" max="8493" width="9" style="2" customWidth="1"/>
    <col min="8494" max="8494" width="8.85546875" style="2" customWidth="1"/>
    <col min="8495" max="8495" width="7.7109375" style="2" customWidth="1"/>
    <col min="8496" max="8496" width="9.7109375" style="2" customWidth="1"/>
    <col min="8497" max="8497" width="9.42578125" style="2" customWidth="1"/>
    <col min="8498" max="8498" width="9.85546875" style="2" customWidth="1"/>
    <col min="8499" max="8499" width="7.7109375" style="2" customWidth="1"/>
    <col min="8500" max="8500" width="8.5703125" style="2" customWidth="1"/>
    <col min="8501" max="8501" width="9.140625" style="2" customWidth="1"/>
    <col min="8502" max="8502" width="10.140625" style="2" customWidth="1"/>
    <col min="8503" max="8503" width="10.42578125" style="2" customWidth="1"/>
    <col min="8504" max="8505" width="7.85546875" style="2" customWidth="1"/>
    <col min="8506" max="8506" width="8.28515625" style="2" customWidth="1"/>
    <col min="8507" max="8507" width="10.42578125" style="2" customWidth="1"/>
    <col min="8508" max="8509" width="7.85546875" style="2" customWidth="1"/>
    <col min="8510" max="8510" width="8.28515625" style="2" customWidth="1"/>
    <col min="8511" max="8511" width="10.42578125" style="2" customWidth="1"/>
    <col min="8512" max="8512" width="8.5703125" style="2" customWidth="1"/>
    <col min="8513" max="8513" width="8.85546875" style="2" customWidth="1"/>
    <col min="8514" max="8514" width="8.7109375" style="2" customWidth="1"/>
    <col min="8515" max="8515" width="7.140625" style="2" bestFit="1" customWidth="1"/>
    <col min="8516" max="8516" width="7.7109375" style="2" bestFit="1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8.85546875" style="2" customWidth="1"/>
    <col min="8521" max="8521" width="9.42578125" style="2" customWidth="1"/>
    <col min="8522" max="8523" width="7.7109375" style="2" bestFit="1" customWidth="1"/>
    <col min="8524" max="8524" width="8.85546875" style="2" customWidth="1"/>
    <col min="8525" max="8525" width="9.42578125" style="2" customWidth="1"/>
    <col min="8526" max="8527" width="7.7109375" style="2" bestFit="1" customWidth="1"/>
    <col min="8528" max="8528" width="9.140625" style="2" customWidth="1"/>
    <col min="8529" max="8529" width="10" style="2" customWidth="1"/>
    <col min="8530" max="8530" width="9.5703125" style="2" customWidth="1"/>
    <col min="8531" max="8531" width="9.28515625" style="2" bestFit="1" customWidth="1"/>
    <col min="8532" max="8532" width="9.28515625" style="2" customWidth="1"/>
    <col min="8533" max="8533" width="9.28515625" style="2" bestFit="1" customWidth="1"/>
    <col min="8534" max="8534" width="10.28515625" style="2" customWidth="1"/>
    <col min="8535" max="8535" width="7.7109375" style="2" bestFit="1" customWidth="1"/>
    <col min="8536" max="8536" width="8" style="2" customWidth="1"/>
    <col min="8537" max="8537" width="8.5703125" style="2" customWidth="1"/>
    <col min="8538" max="8538" width="9.7109375" style="2" customWidth="1"/>
    <col min="8539" max="8539" width="9.42578125" style="2" customWidth="1"/>
    <col min="8540" max="8540" width="9.140625" style="2" customWidth="1"/>
    <col min="8541" max="8541" width="11.42578125" style="2" customWidth="1"/>
    <col min="8542" max="8542" width="12.5703125" style="2" customWidth="1"/>
    <col min="8543" max="8543" width="10.28515625" style="2" customWidth="1"/>
    <col min="8544" max="8544" width="7.7109375" style="2" bestFit="1" customWidth="1"/>
    <col min="8545" max="8545" width="8.28515625" style="2" bestFit="1" customWidth="1"/>
    <col min="8546" max="8547" width="7.7109375" style="2" bestFit="1" customWidth="1"/>
    <col min="8548" max="8548" width="6.5703125" style="2" bestFit="1" customWidth="1"/>
    <col min="8549" max="8549" width="8.28515625" style="2" bestFit="1" customWidth="1"/>
    <col min="8550" max="8550" width="6.5703125" style="2" bestFit="1" customWidth="1"/>
    <col min="8551" max="8551" width="7.140625" style="2" bestFit="1" customWidth="1"/>
    <col min="8552" max="8552" width="7.7109375" style="2" bestFit="1" customWidth="1"/>
    <col min="8553" max="8553" width="8.28515625" style="2" bestFit="1" customWidth="1"/>
    <col min="8554" max="8556" width="7.7109375" style="2" bestFit="1" customWidth="1"/>
    <col min="8557" max="8557" width="8.28515625" style="2" bestFit="1" customWidth="1"/>
    <col min="8558" max="8559" width="7.7109375" style="2" bestFit="1" customWidth="1"/>
    <col min="8560" max="8561" width="9.85546875" style="2" customWidth="1"/>
    <col min="8562" max="8562" width="8.5703125" style="2" customWidth="1"/>
    <col min="8563" max="8564" width="8.85546875" style="2" customWidth="1"/>
    <col min="8565" max="8565" width="9.7109375" style="2" customWidth="1"/>
    <col min="8566" max="8566" width="8.5703125" style="2" customWidth="1"/>
    <col min="8567" max="8567" width="7.7109375" style="2" bestFit="1" customWidth="1"/>
    <col min="8568" max="8568" width="7.5703125" style="2" customWidth="1"/>
    <col min="8569" max="8569" width="8.28515625" style="2" bestFit="1" customWidth="1"/>
    <col min="8570" max="8570" width="8.28515625" style="2" customWidth="1"/>
    <col min="8571" max="8571" width="7.140625" style="2" bestFit="1" customWidth="1"/>
    <col min="8572" max="8572" width="9" style="2" customWidth="1"/>
    <col min="8573" max="8573" width="9.5703125" style="2" customWidth="1"/>
    <col min="8574" max="8574" width="9.7109375" style="2" customWidth="1"/>
    <col min="8575" max="8575" width="10.85546875" style="2" customWidth="1"/>
    <col min="8576" max="8576" width="10.42578125" style="2" customWidth="1"/>
    <col min="8577" max="8578" width="11.28515625" style="2" customWidth="1"/>
    <col min="8579" max="8579" width="11" style="2" customWidth="1"/>
    <col min="8580" max="8580" width="6.7109375" style="2" customWidth="1"/>
    <col min="8581" max="8583" width="9.85546875" style="2"/>
    <col min="8584" max="8584" width="13.140625" style="2" customWidth="1"/>
    <col min="8585" max="8661" width="9.85546875" style="2"/>
    <col min="8662" max="8662" width="27.5703125" style="2" customWidth="1"/>
    <col min="8663" max="8663" width="5.28515625" style="2" customWidth="1"/>
    <col min="8664" max="8665" width="9" style="2" customWidth="1"/>
    <col min="8666" max="8666" width="9.5703125" style="2" customWidth="1"/>
    <col min="8667" max="8667" width="9.7109375" style="2" customWidth="1"/>
    <col min="8668" max="8668" width="7.5703125" style="2" customWidth="1"/>
    <col min="8669" max="8669" width="10.42578125" style="2" customWidth="1"/>
    <col min="8670" max="8670" width="9.140625" style="2" bestFit="1" customWidth="1"/>
    <col min="8671" max="8671" width="7.28515625" style="2" customWidth="1"/>
    <col min="8672" max="8673" width="9.28515625" style="2" customWidth="1"/>
    <col min="8674" max="8674" width="9.5703125" style="2" customWidth="1"/>
    <col min="8675" max="8676" width="9" style="2" customWidth="1"/>
    <col min="8677" max="8677" width="8" style="2" customWidth="1"/>
    <col min="8678" max="8678" width="8.5703125" style="2" customWidth="1"/>
    <col min="8679" max="8679" width="8.28515625" style="2" customWidth="1"/>
    <col min="8680" max="8680" width="9.5703125" style="2" customWidth="1"/>
    <col min="8681" max="8681" width="8.42578125" style="2" customWidth="1"/>
    <col min="8682" max="8682" width="8.140625" style="2" customWidth="1"/>
    <col min="8683" max="8683" width="7.5703125" style="2" customWidth="1"/>
    <col min="8684" max="8684" width="9.140625" style="2" customWidth="1"/>
    <col min="8685" max="8685" width="9" style="2" customWidth="1"/>
    <col min="8686" max="8686" width="8.5703125" style="2" customWidth="1"/>
    <col min="8687" max="8687" width="7.85546875" style="2" customWidth="1"/>
    <col min="8688" max="8688" width="6.7109375" style="2" customWidth="1"/>
    <col min="8689" max="8689" width="5.7109375" style="2" customWidth="1"/>
    <col min="8690" max="8690" width="6.28515625" style="2" customWidth="1"/>
    <col min="8691" max="8691" width="6.5703125" style="2" customWidth="1"/>
    <col min="8692" max="8692" width="8.7109375" style="2" customWidth="1"/>
    <col min="8693" max="8693" width="9" style="2" customWidth="1"/>
    <col min="8694" max="8694" width="8.28515625" style="2" customWidth="1"/>
    <col min="8695" max="8695" width="8.42578125" style="2" customWidth="1"/>
    <col min="8696" max="8696" width="9.85546875" style="2" customWidth="1"/>
    <col min="8697" max="8697" width="10" style="2" customWidth="1"/>
    <col min="8698" max="8698" width="10.140625" style="2" customWidth="1"/>
    <col min="8699" max="8699" width="10.5703125" style="2" customWidth="1"/>
    <col min="8700" max="8700" width="8.140625" style="2" customWidth="1"/>
    <col min="8701" max="8701" width="7.85546875" style="2" customWidth="1"/>
    <col min="8702" max="8702" width="9" style="2" customWidth="1"/>
    <col min="8703" max="8703" width="10" style="2" customWidth="1"/>
    <col min="8704" max="8704" width="10.28515625" style="2" customWidth="1"/>
    <col min="8705" max="8705" width="10.140625" style="2" customWidth="1"/>
    <col min="8706" max="8706" width="10.5703125" style="2" customWidth="1"/>
    <col min="8707" max="8707" width="10.28515625" style="2" customWidth="1"/>
    <col min="8708" max="8708" width="9.7109375" style="2" customWidth="1"/>
    <col min="8709" max="8709" width="9.140625" style="2" bestFit="1" customWidth="1"/>
    <col min="8710" max="8710" width="9.28515625" style="2" customWidth="1"/>
    <col min="8711" max="8711" width="9" style="2" customWidth="1"/>
    <col min="8712" max="8712" width="8" style="2" customWidth="1"/>
    <col min="8713" max="8713" width="8.28515625" style="2" customWidth="1"/>
    <col min="8714" max="8714" width="7.85546875" style="2" customWidth="1"/>
    <col min="8715" max="8715" width="9" style="2" customWidth="1"/>
    <col min="8716" max="8716" width="8.42578125" style="2" customWidth="1"/>
    <col min="8717" max="8717" width="8.28515625" style="2" bestFit="1" customWidth="1"/>
    <col min="8718" max="8719" width="9" style="2" customWidth="1"/>
    <col min="8720" max="8720" width="7.140625" style="2" customWidth="1"/>
    <col min="8721" max="8721" width="9.140625" style="2" customWidth="1"/>
    <col min="8722" max="8722" width="7.7109375" style="2" customWidth="1"/>
    <col min="8723" max="8723" width="7.5703125" style="2" customWidth="1"/>
    <col min="8724" max="8724" width="10" style="2" customWidth="1"/>
    <col min="8725" max="8726" width="10.140625" style="2" bestFit="1" customWidth="1"/>
    <col min="8727" max="8727" width="12.7109375" style="2" bestFit="1" customWidth="1"/>
    <col min="8728" max="8728" width="9.140625" style="2" customWidth="1"/>
    <col min="8729" max="8729" width="9" style="2" customWidth="1"/>
    <col min="8730" max="8730" width="8.85546875" style="2" customWidth="1"/>
    <col min="8731" max="8731" width="10.42578125" style="2" customWidth="1"/>
    <col min="8732" max="8732" width="8.7109375" style="2" customWidth="1"/>
    <col min="8733" max="8733" width="8.140625" style="2" customWidth="1"/>
    <col min="8734" max="8734" width="7.7109375" style="2" customWidth="1"/>
    <col min="8735" max="8735" width="9.7109375" style="2" customWidth="1"/>
    <col min="8736" max="8736" width="6.5703125" style="2" bestFit="1" customWidth="1"/>
    <col min="8737" max="8738" width="7.5703125" style="2" customWidth="1"/>
    <col min="8739" max="8739" width="7.7109375" style="2" customWidth="1"/>
    <col min="8740" max="8741" width="9.28515625" style="2" bestFit="1" customWidth="1"/>
    <col min="8742" max="8742" width="9.5703125" style="2" customWidth="1"/>
    <col min="8743" max="8743" width="9.140625" style="2" customWidth="1"/>
    <col min="8744" max="8745" width="7.85546875" style="2" customWidth="1"/>
    <col min="8746" max="8746" width="9.42578125" style="2" customWidth="1"/>
    <col min="8747" max="8747" width="10" style="2" customWidth="1"/>
    <col min="8748" max="8748" width="6.42578125" style="2" customWidth="1"/>
    <col min="8749" max="8749" width="9" style="2" customWidth="1"/>
    <col min="8750" max="8750" width="8.85546875" style="2" customWidth="1"/>
    <col min="8751" max="8751" width="7.7109375" style="2" customWidth="1"/>
    <col min="8752" max="8752" width="9.7109375" style="2" customWidth="1"/>
    <col min="8753" max="8753" width="9.42578125" style="2" customWidth="1"/>
    <col min="8754" max="8754" width="9.85546875" style="2" customWidth="1"/>
    <col min="8755" max="8755" width="7.7109375" style="2" customWidth="1"/>
    <col min="8756" max="8756" width="8.5703125" style="2" customWidth="1"/>
    <col min="8757" max="8757" width="9.140625" style="2" customWidth="1"/>
    <col min="8758" max="8758" width="10.140625" style="2" customWidth="1"/>
    <col min="8759" max="8759" width="10.42578125" style="2" customWidth="1"/>
    <col min="8760" max="8761" width="7.85546875" style="2" customWidth="1"/>
    <col min="8762" max="8762" width="8.28515625" style="2" customWidth="1"/>
    <col min="8763" max="8763" width="10.42578125" style="2" customWidth="1"/>
    <col min="8764" max="8765" width="7.85546875" style="2" customWidth="1"/>
    <col min="8766" max="8766" width="8.28515625" style="2" customWidth="1"/>
    <col min="8767" max="8767" width="10.42578125" style="2" customWidth="1"/>
    <col min="8768" max="8768" width="8.5703125" style="2" customWidth="1"/>
    <col min="8769" max="8769" width="8.85546875" style="2" customWidth="1"/>
    <col min="8770" max="8770" width="8.7109375" style="2" customWidth="1"/>
    <col min="8771" max="8771" width="7.140625" style="2" bestFit="1" customWidth="1"/>
    <col min="8772" max="8772" width="7.7109375" style="2" bestFit="1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8.85546875" style="2" customWidth="1"/>
    <col min="8777" max="8777" width="9.42578125" style="2" customWidth="1"/>
    <col min="8778" max="8779" width="7.7109375" style="2" bestFit="1" customWidth="1"/>
    <col min="8780" max="8780" width="8.85546875" style="2" customWidth="1"/>
    <col min="8781" max="8781" width="9.42578125" style="2" customWidth="1"/>
    <col min="8782" max="8783" width="7.7109375" style="2" bestFit="1" customWidth="1"/>
    <col min="8784" max="8784" width="9.140625" style="2" customWidth="1"/>
    <col min="8785" max="8785" width="10" style="2" customWidth="1"/>
    <col min="8786" max="8786" width="9.5703125" style="2" customWidth="1"/>
    <col min="8787" max="8787" width="9.28515625" style="2" bestFit="1" customWidth="1"/>
    <col min="8788" max="8788" width="9.28515625" style="2" customWidth="1"/>
    <col min="8789" max="8789" width="9.28515625" style="2" bestFit="1" customWidth="1"/>
    <col min="8790" max="8790" width="10.28515625" style="2" customWidth="1"/>
    <col min="8791" max="8791" width="7.7109375" style="2" bestFit="1" customWidth="1"/>
    <col min="8792" max="8792" width="8" style="2" customWidth="1"/>
    <col min="8793" max="8793" width="8.5703125" style="2" customWidth="1"/>
    <col min="8794" max="8794" width="9.7109375" style="2" customWidth="1"/>
    <col min="8795" max="8795" width="9.42578125" style="2" customWidth="1"/>
    <col min="8796" max="8796" width="9.140625" style="2" customWidth="1"/>
    <col min="8797" max="8797" width="11.42578125" style="2" customWidth="1"/>
    <col min="8798" max="8798" width="12.5703125" style="2" customWidth="1"/>
    <col min="8799" max="8799" width="10.28515625" style="2" customWidth="1"/>
    <col min="8800" max="8800" width="7.7109375" style="2" bestFit="1" customWidth="1"/>
    <col min="8801" max="8801" width="8.28515625" style="2" bestFit="1" customWidth="1"/>
    <col min="8802" max="8803" width="7.7109375" style="2" bestFit="1" customWidth="1"/>
    <col min="8804" max="8804" width="6.5703125" style="2" bestFit="1" customWidth="1"/>
    <col min="8805" max="8805" width="8.28515625" style="2" bestFit="1" customWidth="1"/>
    <col min="8806" max="8806" width="6.5703125" style="2" bestFit="1" customWidth="1"/>
    <col min="8807" max="8807" width="7.140625" style="2" bestFit="1" customWidth="1"/>
    <col min="8808" max="8808" width="7.7109375" style="2" bestFit="1" customWidth="1"/>
    <col min="8809" max="8809" width="8.28515625" style="2" bestFit="1" customWidth="1"/>
    <col min="8810" max="8812" width="7.7109375" style="2" bestFit="1" customWidth="1"/>
    <col min="8813" max="8813" width="8.28515625" style="2" bestFit="1" customWidth="1"/>
    <col min="8814" max="8815" width="7.7109375" style="2" bestFit="1" customWidth="1"/>
    <col min="8816" max="8817" width="9.85546875" style="2" customWidth="1"/>
    <col min="8818" max="8818" width="8.5703125" style="2" customWidth="1"/>
    <col min="8819" max="8820" width="8.85546875" style="2" customWidth="1"/>
    <col min="8821" max="8821" width="9.7109375" style="2" customWidth="1"/>
    <col min="8822" max="8822" width="8.5703125" style="2" customWidth="1"/>
    <col min="8823" max="8823" width="7.7109375" style="2" bestFit="1" customWidth="1"/>
    <col min="8824" max="8824" width="7.5703125" style="2" customWidth="1"/>
    <col min="8825" max="8825" width="8.28515625" style="2" bestFit="1" customWidth="1"/>
    <col min="8826" max="8826" width="8.28515625" style="2" customWidth="1"/>
    <col min="8827" max="8827" width="7.140625" style="2" bestFit="1" customWidth="1"/>
    <col min="8828" max="8828" width="9" style="2" customWidth="1"/>
    <col min="8829" max="8829" width="9.5703125" style="2" customWidth="1"/>
    <col min="8830" max="8830" width="9.7109375" style="2" customWidth="1"/>
    <col min="8831" max="8831" width="10.85546875" style="2" customWidth="1"/>
    <col min="8832" max="8832" width="10.42578125" style="2" customWidth="1"/>
    <col min="8833" max="8834" width="11.28515625" style="2" customWidth="1"/>
    <col min="8835" max="8835" width="11" style="2" customWidth="1"/>
    <col min="8836" max="8836" width="6.7109375" style="2" customWidth="1"/>
    <col min="8837" max="8839" width="9.85546875" style="2"/>
    <col min="8840" max="8840" width="13.140625" style="2" customWidth="1"/>
    <col min="8841" max="8917" width="9.85546875" style="2"/>
    <col min="8918" max="8918" width="27.5703125" style="2" customWidth="1"/>
    <col min="8919" max="8919" width="5.28515625" style="2" customWidth="1"/>
    <col min="8920" max="8921" width="9" style="2" customWidth="1"/>
    <col min="8922" max="8922" width="9.5703125" style="2" customWidth="1"/>
    <col min="8923" max="8923" width="9.7109375" style="2" customWidth="1"/>
    <col min="8924" max="8924" width="7.5703125" style="2" customWidth="1"/>
    <col min="8925" max="8925" width="10.42578125" style="2" customWidth="1"/>
    <col min="8926" max="8926" width="9.140625" style="2" bestFit="1" customWidth="1"/>
    <col min="8927" max="8927" width="7.28515625" style="2" customWidth="1"/>
    <col min="8928" max="8929" width="9.28515625" style="2" customWidth="1"/>
    <col min="8930" max="8930" width="9.5703125" style="2" customWidth="1"/>
    <col min="8931" max="8932" width="9" style="2" customWidth="1"/>
    <col min="8933" max="8933" width="8" style="2" customWidth="1"/>
    <col min="8934" max="8934" width="8.5703125" style="2" customWidth="1"/>
    <col min="8935" max="8935" width="8.28515625" style="2" customWidth="1"/>
    <col min="8936" max="8936" width="9.5703125" style="2" customWidth="1"/>
    <col min="8937" max="8937" width="8.42578125" style="2" customWidth="1"/>
    <col min="8938" max="8938" width="8.140625" style="2" customWidth="1"/>
    <col min="8939" max="8939" width="7.5703125" style="2" customWidth="1"/>
    <col min="8940" max="8940" width="9.140625" style="2" customWidth="1"/>
    <col min="8941" max="8941" width="9" style="2" customWidth="1"/>
    <col min="8942" max="8942" width="8.5703125" style="2" customWidth="1"/>
    <col min="8943" max="8943" width="7.85546875" style="2" customWidth="1"/>
    <col min="8944" max="8944" width="6.7109375" style="2" customWidth="1"/>
    <col min="8945" max="8945" width="5.7109375" style="2" customWidth="1"/>
    <col min="8946" max="8946" width="6.28515625" style="2" customWidth="1"/>
    <col min="8947" max="8947" width="6.5703125" style="2" customWidth="1"/>
    <col min="8948" max="8948" width="8.7109375" style="2" customWidth="1"/>
    <col min="8949" max="8949" width="9" style="2" customWidth="1"/>
    <col min="8950" max="8950" width="8.28515625" style="2" customWidth="1"/>
    <col min="8951" max="8951" width="8.42578125" style="2" customWidth="1"/>
    <col min="8952" max="8952" width="9.85546875" style="2" customWidth="1"/>
    <col min="8953" max="8953" width="10" style="2" customWidth="1"/>
    <col min="8954" max="8954" width="10.140625" style="2" customWidth="1"/>
    <col min="8955" max="8955" width="10.5703125" style="2" customWidth="1"/>
    <col min="8956" max="8956" width="8.140625" style="2" customWidth="1"/>
    <col min="8957" max="8957" width="7.85546875" style="2" customWidth="1"/>
    <col min="8958" max="8958" width="9" style="2" customWidth="1"/>
    <col min="8959" max="8959" width="10" style="2" customWidth="1"/>
    <col min="8960" max="8960" width="10.28515625" style="2" customWidth="1"/>
    <col min="8961" max="8961" width="10.140625" style="2" customWidth="1"/>
    <col min="8962" max="8962" width="10.5703125" style="2" customWidth="1"/>
    <col min="8963" max="8963" width="10.28515625" style="2" customWidth="1"/>
    <col min="8964" max="8964" width="9.7109375" style="2" customWidth="1"/>
    <col min="8965" max="8965" width="9.140625" style="2" bestFit="1" customWidth="1"/>
    <col min="8966" max="8966" width="9.28515625" style="2" customWidth="1"/>
    <col min="8967" max="8967" width="9" style="2" customWidth="1"/>
    <col min="8968" max="8968" width="8" style="2" customWidth="1"/>
    <col min="8969" max="8969" width="8.28515625" style="2" customWidth="1"/>
    <col min="8970" max="8970" width="7.85546875" style="2" customWidth="1"/>
    <col min="8971" max="8971" width="9" style="2" customWidth="1"/>
    <col min="8972" max="8972" width="8.42578125" style="2" customWidth="1"/>
    <col min="8973" max="8973" width="8.28515625" style="2" bestFit="1" customWidth="1"/>
    <col min="8974" max="8975" width="9" style="2" customWidth="1"/>
    <col min="8976" max="8976" width="7.140625" style="2" customWidth="1"/>
    <col min="8977" max="8977" width="9.140625" style="2" customWidth="1"/>
    <col min="8978" max="8978" width="7.7109375" style="2" customWidth="1"/>
    <col min="8979" max="8979" width="7.5703125" style="2" customWidth="1"/>
    <col min="8980" max="8980" width="10" style="2" customWidth="1"/>
    <col min="8981" max="8982" width="10.140625" style="2" bestFit="1" customWidth="1"/>
    <col min="8983" max="8983" width="12.7109375" style="2" bestFit="1" customWidth="1"/>
    <col min="8984" max="8984" width="9.140625" style="2" customWidth="1"/>
    <col min="8985" max="8985" width="9" style="2" customWidth="1"/>
    <col min="8986" max="8986" width="8.85546875" style="2" customWidth="1"/>
    <col min="8987" max="8987" width="10.42578125" style="2" customWidth="1"/>
    <col min="8988" max="8988" width="8.7109375" style="2" customWidth="1"/>
    <col min="8989" max="8989" width="8.140625" style="2" customWidth="1"/>
    <col min="8990" max="8990" width="7.7109375" style="2" customWidth="1"/>
    <col min="8991" max="8991" width="9.7109375" style="2" customWidth="1"/>
    <col min="8992" max="8992" width="6.5703125" style="2" bestFit="1" customWidth="1"/>
    <col min="8993" max="8994" width="7.5703125" style="2" customWidth="1"/>
    <col min="8995" max="8995" width="7.7109375" style="2" customWidth="1"/>
    <col min="8996" max="8997" width="9.28515625" style="2" bestFit="1" customWidth="1"/>
    <col min="8998" max="8998" width="9.5703125" style="2" customWidth="1"/>
    <col min="8999" max="8999" width="9.140625" style="2" customWidth="1"/>
    <col min="9000" max="9001" width="7.85546875" style="2" customWidth="1"/>
    <col min="9002" max="9002" width="9.42578125" style="2" customWidth="1"/>
    <col min="9003" max="9003" width="10" style="2" customWidth="1"/>
    <col min="9004" max="9004" width="6.42578125" style="2" customWidth="1"/>
    <col min="9005" max="9005" width="9" style="2" customWidth="1"/>
    <col min="9006" max="9006" width="8.85546875" style="2" customWidth="1"/>
    <col min="9007" max="9007" width="7.7109375" style="2" customWidth="1"/>
    <col min="9008" max="9008" width="9.7109375" style="2" customWidth="1"/>
    <col min="9009" max="9009" width="9.42578125" style="2" customWidth="1"/>
    <col min="9010" max="9010" width="9.85546875" style="2" customWidth="1"/>
    <col min="9011" max="9011" width="7.7109375" style="2" customWidth="1"/>
    <col min="9012" max="9012" width="8.5703125" style="2" customWidth="1"/>
    <col min="9013" max="9013" width="9.140625" style="2" customWidth="1"/>
    <col min="9014" max="9014" width="10.140625" style="2" customWidth="1"/>
    <col min="9015" max="9015" width="10.42578125" style="2" customWidth="1"/>
    <col min="9016" max="9017" width="7.85546875" style="2" customWidth="1"/>
    <col min="9018" max="9018" width="8.28515625" style="2" customWidth="1"/>
    <col min="9019" max="9019" width="10.42578125" style="2" customWidth="1"/>
    <col min="9020" max="9021" width="7.85546875" style="2" customWidth="1"/>
    <col min="9022" max="9022" width="8.28515625" style="2" customWidth="1"/>
    <col min="9023" max="9023" width="10.42578125" style="2" customWidth="1"/>
    <col min="9024" max="9024" width="8.5703125" style="2" customWidth="1"/>
    <col min="9025" max="9025" width="8.85546875" style="2" customWidth="1"/>
    <col min="9026" max="9026" width="8.7109375" style="2" customWidth="1"/>
    <col min="9027" max="9027" width="7.140625" style="2" bestFit="1" customWidth="1"/>
    <col min="9028" max="9028" width="7.7109375" style="2" bestFit="1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8.85546875" style="2" customWidth="1"/>
    <col min="9033" max="9033" width="9.42578125" style="2" customWidth="1"/>
    <col min="9034" max="9035" width="7.7109375" style="2" bestFit="1" customWidth="1"/>
    <col min="9036" max="9036" width="8.85546875" style="2" customWidth="1"/>
    <col min="9037" max="9037" width="9.42578125" style="2" customWidth="1"/>
    <col min="9038" max="9039" width="7.7109375" style="2" bestFit="1" customWidth="1"/>
    <col min="9040" max="9040" width="9.140625" style="2" customWidth="1"/>
    <col min="9041" max="9041" width="10" style="2" customWidth="1"/>
    <col min="9042" max="9042" width="9.5703125" style="2" customWidth="1"/>
    <col min="9043" max="9043" width="9.28515625" style="2" bestFit="1" customWidth="1"/>
    <col min="9044" max="9044" width="9.28515625" style="2" customWidth="1"/>
    <col min="9045" max="9045" width="9.28515625" style="2" bestFit="1" customWidth="1"/>
    <col min="9046" max="9046" width="10.28515625" style="2" customWidth="1"/>
    <col min="9047" max="9047" width="7.7109375" style="2" bestFit="1" customWidth="1"/>
    <col min="9048" max="9048" width="8" style="2" customWidth="1"/>
    <col min="9049" max="9049" width="8.5703125" style="2" customWidth="1"/>
    <col min="9050" max="9050" width="9.7109375" style="2" customWidth="1"/>
    <col min="9051" max="9051" width="9.42578125" style="2" customWidth="1"/>
    <col min="9052" max="9052" width="9.140625" style="2" customWidth="1"/>
    <col min="9053" max="9053" width="11.42578125" style="2" customWidth="1"/>
    <col min="9054" max="9054" width="12.5703125" style="2" customWidth="1"/>
    <col min="9055" max="9055" width="10.28515625" style="2" customWidth="1"/>
    <col min="9056" max="9056" width="7.7109375" style="2" bestFit="1" customWidth="1"/>
    <col min="9057" max="9057" width="8.28515625" style="2" bestFit="1" customWidth="1"/>
    <col min="9058" max="9059" width="7.7109375" style="2" bestFit="1" customWidth="1"/>
    <col min="9060" max="9060" width="6.5703125" style="2" bestFit="1" customWidth="1"/>
    <col min="9061" max="9061" width="8.28515625" style="2" bestFit="1" customWidth="1"/>
    <col min="9062" max="9062" width="6.5703125" style="2" bestFit="1" customWidth="1"/>
    <col min="9063" max="9063" width="7.140625" style="2" bestFit="1" customWidth="1"/>
    <col min="9064" max="9064" width="7.7109375" style="2" bestFit="1" customWidth="1"/>
    <col min="9065" max="9065" width="8.28515625" style="2" bestFit="1" customWidth="1"/>
    <col min="9066" max="9068" width="7.7109375" style="2" bestFit="1" customWidth="1"/>
    <col min="9069" max="9069" width="8.28515625" style="2" bestFit="1" customWidth="1"/>
    <col min="9070" max="9071" width="7.7109375" style="2" bestFit="1" customWidth="1"/>
    <col min="9072" max="9073" width="9.85546875" style="2" customWidth="1"/>
    <col min="9074" max="9074" width="8.5703125" style="2" customWidth="1"/>
    <col min="9075" max="9076" width="8.85546875" style="2" customWidth="1"/>
    <col min="9077" max="9077" width="9.7109375" style="2" customWidth="1"/>
    <col min="9078" max="9078" width="8.5703125" style="2" customWidth="1"/>
    <col min="9079" max="9079" width="7.7109375" style="2" bestFit="1" customWidth="1"/>
    <col min="9080" max="9080" width="7.5703125" style="2" customWidth="1"/>
    <col min="9081" max="9081" width="8.28515625" style="2" bestFit="1" customWidth="1"/>
    <col min="9082" max="9082" width="8.28515625" style="2" customWidth="1"/>
    <col min="9083" max="9083" width="7.140625" style="2" bestFit="1" customWidth="1"/>
    <col min="9084" max="9084" width="9" style="2" customWidth="1"/>
    <col min="9085" max="9085" width="9.5703125" style="2" customWidth="1"/>
    <col min="9086" max="9086" width="9.7109375" style="2" customWidth="1"/>
    <col min="9087" max="9087" width="10.85546875" style="2" customWidth="1"/>
    <col min="9088" max="9088" width="10.42578125" style="2" customWidth="1"/>
    <col min="9089" max="9090" width="11.28515625" style="2" customWidth="1"/>
    <col min="9091" max="9091" width="11" style="2" customWidth="1"/>
    <col min="9092" max="9092" width="6.7109375" style="2" customWidth="1"/>
    <col min="9093" max="9095" width="9.85546875" style="2"/>
    <col min="9096" max="9096" width="13.140625" style="2" customWidth="1"/>
    <col min="9097" max="9173" width="9.85546875" style="2"/>
    <col min="9174" max="9174" width="27.5703125" style="2" customWidth="1"/>
    <col min="9175" max="9175" width="5.28515625" style="2" customWidth="1"/>
    <col min="9176" max="9177" width="9" style="2" customWidth="1"/>
    <col min="9178" max="9178" width="9.5703125" style="2" customWidth="1"/>
    <col min="9179" max="9179" width="9.7109375" style="2" customWidth="1"/>
    <col min="9180" max="9180" width="7.5703125" style="2" customWidth="1"/>
    <col min="9181" max="9181" width="10.42578125" style="2" customWidth="1"/>
    <col min="9182" max="9182" width="9.140625" style="2" bestFit="1" customWidth="1"/>
    <col min="9183" max="9183" width="7.28515625" style="2" customWidth="1"/>
    <col min="9184" max="9185" width="9.28515625" style="2" customWidth="1"/>
    <col min="9186" max="9186" width="9.5703125" style="2" customWidth="1"/>
    <col min="9187" max="9188" width="9" style="2" customWidth="1"/>
    <col min="9189" max="9189" width="8" style="2" customWidth="1"/>
    <col min="9190" max="9190" width="8.5703125" style="2" customWidth="1"/>
    <col min="9191" max="9191" width="8.28515625" style="2" customWidth="1"/>
    <col min="9192" max="9192" width="9.5703125" style="2" customWidth="1"/>
    <col min="9193" max="9193" width="8.42578125" style="2" customWidth="1"/>
    <col min="9194" max="9194" width="8.140625" style="2" customWidth="1"/>
    <col min="9195" max="9195" width="7.5703125" style="2" customWidth="1"/>
    <col min="9196" max="9196" width="9.140625" style="2" customWidth="1"/>
    <col min="9197" max="9197" width="9" style="2" customWidth="1"/>
    <col min="9198" max="9198" width="8.5703125" style="2" customWidth="1"/>
    <col min="9199" max="9199" width="7.85546875" style="2" customWidth="1"/>
    <col min="9200" max="9200" width="6.7109375" style="2" customWidth="1"/>
    <col min="9201" max="9201" width="5.7109375" style="2" customWidth="1"/>
    <col min="9202" max="9202" width="6.28515625" style="2" customWidth="1"/>
    <col min="9203" max="9203" width="6.5703125" style="2" customWidth="1"/>
    <col min="9204" max="9204" width="8.7109375" style="2" customWidth="1"/>
    <col min="9205" max="9205" width="9" style="2" customWidth="1"/>
    <col min="9206" max="9206" width="8.28515625" style="2" customWidth="1"/>
    <col min="9207" max="9207" width="8.42578125" style="2" customWidth="1"/>
    <col min="9208" max="9208" width="9.85546875" style="2" customWidth="1"/>
    <col min="9209" max="9209" width="10" style="2" customWidth="1"/>
    <col min="9210" max="9210" width="10.140625" style="2" customWidth="1"/>
    <col min="9211" max="9211" width="10.5703125" style="2" customWidth="1"/>
    <col min="9212" max="9212" width="8.140625" style="2" customWidth="1"/>
    <col min="9213" max="9213" width="7.85546875" style="2" customWidth="1"/>
    <col min="9214" max="9214" width="9" style="2" customWidth="1"/>
    <col min="9215" max="9215" width="10" style="2" customWidth="1"/>
    <col min="9216" max="9216" width="10.28515625" style="2" customWidth="1"/>
    <col min="9217" max="9217" width="10.140625" style="2" customWidth="1"/>
    <col min="9218" max="9218" width="10.5703125" style="2" customWidth="1"/>
    <col min="9219" max="9219" width="10.28515625" style="2" customWidth="1"/>
    <col min="9220" max="9220" width="9.7109375" style="2" customWidth="1"/>
    <col min="9221" max="9221" width="9.140625" style="2" bestFit="1" customWidth="1"/>
    <col min="9222" max="9222" width="9.28515625" style="2" customWidth="1"/>
    <col min="9223" max="9223" width="9" style="2" customWidth="1"/>
    <col min="9224" max="9224" width="8" style="2" customWidth="1"/>
    <col min="9225" max="9225" width="8.28515625" style="2" customWidth="1"/>
    <col min="9226" max="9226" width="7.85546875" style="2" customWidth="1"/>
    <col min="9227" max="9227" width="9" style="2" customWidth="1"/>
    <col min="9228" max="9228" width="8.42578125" style="2" customWidth="1"/>
    <col min="9229" max="9229" width="8.28515625" style="2" bestFit="1" customWidth="1"/>
    <col min="9230" max="9231" width="9" style="2" customWidth="1"/>
    <col min="9232" max="9232" width="7.140625" style="2" customWidth="1"/>
    <col min="9233" max="9233" width="9.140625" style="2" customWidth="1"/>
    <col min="9234" max="9234" width="7.7109375" style="2" customWidth="1"/>
    <col min="9235" max="9235" width="7.5703125" style="2" customWidth="1"/>
    <col min="9236" max="9236" width="10" style="2" customWidth="1"/>
    <col min="9237" max="9238" width="10.140625" style="2" bestFit="1" customWidth="1"/>
    <col min="9239" max="9239" width="12.7109375" style="2" bestFit="1" customWidth="1"/>
    <col min="9240" max="9240" width="9.140625" style="2" customWidth="1"/>
    <col min="9241" max="9241" width="9" style="2" customWidth="1"/>
    <col min="9242" max="9242" width="8.85546875" style="2" customWidth="1"/>
    <col min="9243" max="9243" width="10.42578125" style="2" customWidth="1"/>
    <col min="9244" max="9244" width="8.7109375" style="2" customWidth="1"/>
    <col min="9245" max="9245" width="8.140625" style="2" customWidth="1"/>
    <col min="9246" max="9246" width="7.7109375" style="2" customWidth="1"/>
    <col min="9247" max="9247" width="9.7109375" style="2" customWidth="1"/>
    <col min="9248" max="9248" width="6.5703125" style="2" bestFit="1" customWidth="1"/>
    <col min="9249" max="9250" width="7.5703125" style="2" customWidth="1"/>
    <col min="9251" max="9251" width="7.7109375" style="2" customWidth="1"/>
    <col min="9252" max="9253" width="9.28515625" style="2" bestFit="1" customWidth="1"/>
    <col min="9254" max="9254" width="9.5703125" style="2" customWidth="1"/>
    <col min="9255" max="9255" width="9.140625" style="2" customWidth="1"/>
    <col min="9256" max="9257" width="7.85546875" style="2" customWidth="1"/>
    <col min="9258" max="9258" width="9.42578125" style="2" customWidth="1"/>
    <col min="9259" max="9259" width="10" style="2" customWidth="1"/>
    <col min="9260" max="9260" width="6.42578125" style="2" customWidth="1"/>
    <col min="9261" max="9261" width="9" style="2" customWidth="1"/>
    <col min="9262" max="9262" width="8.85546875" style="2" customWidth="1"/>
    <col min="9263" max="9263" width="7.7109375" style="2" customWidth="1"/>
    <col min="9264" max="9264" width="9.7109375" style="2" customWidth="1"/>
    <col min="9265" max="9265" width="9.42578125" style="2" customWidth="1"/>
    <col min="9266" max="9266" width="9.85546875" style="2" customWidth="1"/>
    <col min="9267" max="9267" width="7.7109375" style="2" customWidth="1"/>
    <col min="9268" max="9268" width="8.5703125" style="2" customWidth="1"/>
    <col min="9269" max="9269" width="9.140625" style="2" customWidth="1"/>
    <col min="9270" max="9270" width="10.140625" style="2" customWidth="1"/>
    <col min="9271" max="9271" width="10.42578125" style="2" customWidth="1"/>
    <col min="9272" max="9273" width="7.85546875" style="2" customWidth="1"/>
    <col min="9274" max="9274" width="8.28515625" style="2" customWidth="1"/>
    <col min="9275" max="9275" width="10.42578125" style="2" customWidth="1"/>
    <col min="9276" max="9277" width="7.85546875" style="2" customWidth="1"/>
    <col min="9278" max="9278" width="8.28515625" style="2" customWidth="1"/>
    <col min="9279" max="9279" width="10.42578125" style="2" customWidth="1"/>
    <col min="9280" max="9280" width="8.5703125" style="2" customWidth="1"/>
    <col min="9281" max="9281" width="8.85546875" style="2" customWidth="1"/>
    <col min="9282" max="9282" width="8.7109375" style="2" customWidth="1"/>
    <col min="9283" max="9283" width="7.140625" style="2" bestFit="1" customWidth="1"/>
    <col min="9284" max="9284" width="7.7109375" style="2" bestFit="1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8.85546875" style="2" customWidth="1"/>
    <col min="9289" max="9289" width="9.42578125" style="2" customWidth="1"/>
    <col min="9290" max="9291" width="7.7109375" style="2" bestFit="1" customWidth="1"/>
    <col min="9292" max="9292" width="8.85546875" style="2" customWidth="1"/>
    <col min="9293" max="9293" width="9.42578125" style="2" customWidth="1"/>
    <col min="9294" max="9295" width="7.7109375" style="2" bestFit="1" customWidth="1"/>
    <col min="9296" max="9296" width="9.140625" style="2" customWidth="1"/>
    <col min="9297" max="9297" width="10" style="2" customWidth="1"/>
    <col min="9298" max="9298" width="9.5703125" style="2" customWidth="1"/>
    <col min="9299" max="9299" width="9.28515625" style="2" bestFit="1" customWidth="1"/>
    <col min="9300" max="9300" width="9.28515625" style="2" customWidth="1"/>
    <col min="9301" max="9301" width="9.28515625" style="2" bestFit="1" customWidth="1"/>
    <col min="9302" max="9302" width="10.28515625" style="2" customWidth="1"/>
    <col min="9303" max="9303" width="7.7109375" style="2" bestFit="1" customWidth="1"/>
    <col min="9304" max="9304" width="8" style="2" customWidth="1"/>
    <col min="9305" max="9305" width="8.5703125" style="2" customWidth="1"/>
    <col min="9306" max="9306" width="9.7109375" style="2" customWidth="1"/>
    <col min="9307" max="9307" width="9.42578125" style="2" customWidth="1"/>
    <col min="9308" max="9308" width="9.140625" style="2" customWidth="1"/>
    <col min="9309" max="9309" width="11.42578125" style="2" customWidth="1"/>
    <col min="9310" max="9310" width="12.5703125" style="2" customWidth="1"/>
    <col min="9311" max="9311" width="10.28515625" style="2" customWidth="1"/>
    <col min="9312" max="9312" width="7.7109375" style="2" bestFit="1" customWidth="1"/>
    <col min="9313" max="9313" width="8.28515625" style="2" bestFit="1" customWidth="1"/>
    <col min="9314" max="9315" width="7.7109375" style="2" bestFit="1" customWidth="1"/>
    <col min="9316" max="9316" width="6.5703125" style="2" bestFit="1" customWidth="1"/>
    <col min="9317" max="9317" width="8.28515625" style="2" bestFit="1" customWidth="1"/>
    <col min="9318" max="9318" width="6.5703125" style="2" bestFit="1" customWidth="1"/>
    <col min="9319" max="9319" width="7.140625" style="2" bestFit="1" customWidth="1"/>
    <col min="9320" max="9320" width="7.7109375" style="2" bestFit="1" customWidth="1"/>
    <col min="9321" max="9321" width="8.28515625" style="2" bestFit="1" customWidth="1"/>
    <col min="9322" max="9324" width="7.7109375" style="2" bestFit="1" customWidth="1"/>
    <col min="9325" max="9325" width="8.28515625" style="2" bestFit="1" customWidth="1"/>
    <col min="9326" max="9327" width="7.7109375" style="2" bestFit="1" customWidth="1"/>
    <col min="9328" max="9329" width="9.85546875" style="2" customWidth="1"/>
    <col min="9330" max="9330" width="8.5703125" style="2" customWidth="1"/>
    <col min="9331" max="9332" width="8.85546875" style="2" customWidth="1"/>
    <col min="9333" max="9333" width="9.7109375" style="2" customWidth="1"/>
    <col min="9334" max="9334" width="8.5703125" style="2" customWidth="1"/>
    <col min="9335" max="9335" width="7.7109375" style="2" bestFit="1" customWidth="1"/>
    <col min="9336" max="9336" width="7.5703125" style="2" customWidth="1"/>
    <col min="9337" max="9337" width="8.28515625" style="2" bestFit="1" customWidth="1"/>
    <col min="9338" max="9338" width="8.28515625" style="2" customWidth="1"/>
    <col min="9339" max="9339" width="7.140625" style="2" bestFit="1" customWidth="1"/>
    <col min="9340" max="9340" width="9" style="2" customWidth="1"/>
    <col min="9341" max="9341" width="9.5703125" style="2" customWidth="1"/>
    <col min="9342" max="9342" width="9.7109375" style="2" customWidth="1"/>
    <col min="9343" max="9343" width="10.85546875" style="2" customWidth="1"/>
    <col min="9344" max="9344" width="10.42578125" style="2" customWidth="1"/>
    <col min="9345" max="9346" width="11.28515625" style="2" customWidth="1"/>
    <col min="9347" max="9347" width="11" style="2" customWidth="1"/>
    <col min="9348" max="9348" width="6.7109375" style="2" customWidth="1"/>
    <col min="9349" max="9351" width="9.85546875" style="2"/>
    <col min="9352" max="9352" width="13.140625" style="2" customWidth="1"/>
    <col min="9353" max="9429" width="9.85546875" style="2"/>
    <col min="9430" max="9430" width="27.5703125" style="2" customWidth="1"/>
    <col min="9431" max="9431" width="5.28515625" style="2" customWidth="1"/>
    <col min="9432" max="9433" width="9" style="2" customWidth="1"/>
    <col min="9434" max="9434" width="9.5703125" style="2" customWidth="1"/>
    <col min="9435" max="9435" width="9.7109375" style="2" customWidth="1"/>
    <col min="9436" max="9436" width="7.5703125" style="2" customWidth="1"/>
    <col min="9437" max="9437" width="10.42578125" style="2" customWidth="1"/>
    <col min="9438" max="9438" width="9.140625" style="2" bestFit="1" customWidth="1"/>
    <col min="9439" max="9439" width="7.28515625" style="2" customWidth="1"/>
    <col min="9440" max="9441" width="9.28515625" style="2" customWidth="1"/>
    <col min="9442" max="9442" width="9.5703125" style="2" customWidth="1"/>
    <col min="9443" max="9444" width="9" style="2" customWidth="1"/>
    <col min="9445" max="9445" width="8" style="2" customWidth="1"/>
    <col min="9446" max="9446" width="8.5703125" style="2" customWidth="1"/>
    <col min="9447" max="9447" width="8.28515625" style="2" customWidth="1"/>
    <col min="9448" max="9448" width="9.5703125" style="2" customWidth="1"/>
    <col min="9449" max="9449" width="8.42578125" style="2" customWidth="1"/>
    <col min="9450" max="9450" width="8.140625" style="2" customWidth="1"/>
    <col min="9451" max="9451" width="7.5703125" style="2" customWidth="1"/>
    <col min="9452" max="9452" width="9.140625" style="2" customWidth="1"/>
    <col min="9453" max="9453" width="9" style="2" customWidth="1"/>
    <col min="9454" max="9454" width="8.5703125" style="2" customWidth="1"/>
    <col min="9455" max="9455" width="7.85546875" style="2" customWidth="1"/>
    <col min="9456" max="9456" width="6.7109375" style="2" customWidth="1"/>
    <col min="9457" max="9457" width="5.7109375" style="2" customWidth="1"/>
    <col min="9458" max="9458" width="6.28515625" style="2" customWidth="1"/>
    <col min="9459" max="9459" width="6.5703125" style="2" customWidth="1"/>
    <col min="9460" max="9460" width="8.7109375" style="2" customWidth="1"/>
    <col min="9461" max="9461" width="9" style="2" customWidth="1"/>
    <col min="9462" max="9462" width="8.28515625" style="2" customWidth="1"/>
    <col min="9463" max="9463" width="8.42578125" style="2" customWidth="1"/>
    <col min="9464" max="9464" width="9.85546875" style="2" customWidth="1"/>
    <col min="9465" max="9465" width="10" style="2" customWidth="1"/>
    <col min="9466" max="9466" width="10.140625" style="2" customWidth="1"/>
    <col min="9467" max="9467" width="10.5703125" style="2" customWidth="1"/>
    <col min="9468" max="9468" width="8.140625" style="2" customWidth="1"/>
    <col min="9469" max="9469" width="7.85546875" style="2" customWidth="1"/>
    <col min="9470" max="9470" width="9" style="2" customWidth="1"/>
    <col min="9471" max="9471" width="10" style="2" customWidth="1"/>
    <col min="9472" max="9472" width="10.28515625" style="2" customWidth="1"/>
    <col min="9473" max="9473" width="10.140625" style="2" customWidth="1"/>
    <col min="9474" max="9474" width="10.5703125" style="2" customWidth="1"/>
    <col min="9475" max="9475" width="10.28515625" style="2" customWidth="1"/>
    <col min="9476" max="9476" width="9.7109375" style="2" customWidth="1"/>
    <col min="9477" max="9477" width="9.140625" style="2" bestFit="1" customWidth="1"/>
    <col min="9478" max="9478" width="9.28515625" style="2" customWidth="1"/>
    <col min="9479" max="9479" width="9" style="2" customWidth="1"/>
    <col min="9480" max="9480" width="8" style="2" customWidth="1"/>
    <col min="9481" max="9481" width="8.28515625" style="2" customWidth="1"/>
    <col min="9482" max="9482" width="7.85546875" style="2" customWidth="1"/>
    <col min="9483" max="9483" width="9" style="2" customWidth="1"/>
    <col min="9484" max="9484" width="8.42578125" style="2" customWidth="1"/>
    <col min="9485" max="9485" width="8.28515625" style="2" bestFit="1" customWidth="1"/>
    <col min="9486" max="9487" width="9" style="2" customWidth="1"/>
    <col min="9488" max="9488" width="7.140625" style="2" customWidth="1"/>
    <col min="9489" max="9489" width="9.140625" style="2" customWidth="1"/>
    <col min="9490" max="9490" width="7.7109375" style="2" customWidth="1"/>
    <col min="9491" max="9491" width="7.5703125" style="2" customWidth="1"/>
    <col min="9492" max="9492" width="10" style="2" customWidth="1"/>
    <col min="9493" max="9494" width="10.140625" style="2" bestFit="1" customWidth="1"/>
    <col min="9495" max="9495" width="12.7109375" style="2" bestFit="1" customWidth="1"/>
    <col min="9496" max="9496" width="9.140625" style="2" customWidth="1"/>
    <col min="9497" max="9497" width="9" style="2" customWidth="1"/>
    <col min="9498" max="9498" width="8.85546875" style="2" customWidth="1"/>
    <col min="9499" max="9499" width="10.42578125" style="2" customWidth="1"/>
    <col min="9500" max="9500" width="8.7109375" style="2" customWidth="1"/>
    <col min="9501" max="9501" width="8.140625" style="2" customWidth="1"/>
    <col min="9502" max="9502" width="7.7109375" style="2" customWidth="1"/>
    <col min="9503" max="9503" width="9.7109375" style="2" customWidth="1"/>
    <col min="9504" max="9504" width="6.5703125" style="2" bestFit="1" customWidth="1"/>
    <col min="9505" max="9506" width="7.5703125" style="2" customWidth="1"/>
    <col min="9507" max="9507" width="7.7109375" style="2" customWidth="1"/>
    <col min="9508" max="9509" width="9.28515625" style="2" bestFit="1" customWidth="1"/>
    <col min="9510" max="9510" width="9.5703125" style="2" customWidth="1"/>
    <col min="9511" max="9511" width="9.140625" style="2" customWidth="1"/>
    <col min="9512" max="9513" width="7.85546875" style="2" customWidth="1"/>
    <col min="9514" max="9514" width="9.42578125" style="2" customWidth="1"/>
    <col min="9515" max="9515" width="10" style="2" customWidth="1"/>
    <col min="9516" max="9516" width="6.42578125" style="2" customWidth="1"/>
    <col min="9517" max="9517" width="9" style="2" customWidth="1"/>
    <col min="9518" max="9518" width="8.85546875" style="2" customWidth="1"/>
    <col min="9519" max="9519" width="7.7109375" style="2" customWidth="1"/>
    <col min="9520" max="9520" width="9.7109375" style="2" customWidth="1"/>
    <col min="9521" max="9521" width="9.42578125" style="2" customWidth="1"/>
    <col min="9522" max="9522" width="9.85546875" style="2" customWidth="1"/>
    <col min="9523" max="9523" width="7.7109375" style="2" customWidth="1"/>
    <col min="9524" max="9524" width="8.5703125" style="2" customWidth="1"/>
    <col min="9525" max="9525" width="9.140625" style="2" customWidth="1"/>
    <col min="9526" max="9526" width="10.140625" style="2" customWidth="1"/>
    <col min="9527" max="9527" width="10.42578125" style="2" customWidth="1"/>
    <col min="9528" max="9529" width="7.85546875" style="2" customWidth="1"/>
    <col min="9530" max="9530" width="8.28515625" style="2" customWidth="1"/>
    <col min="9531" max="9531" width="10.42578125" style="2" customWidth="1"/>
    <col min="9532" max="9533" width="7.85546875" style="2" customWidth="1"/>
    <col min="9534" max="9534" width="8.28515625" style="2" customWidth="1"/>
    <col min="9535" max="9535" width="10.42578125" style="2" customWidth="1"/>
    <col min="9536" max="9536" width="8.5703125" style="2" customWidth="1"/>
    <col min="9537" max="9537" width="8.85546875" style="2" customWidth="1"/>
    <col min="9538" max="9538" width="8.7109375" style="2" customWidth="1"/>
    <col min="9539" max="9539" width="7.140625" style="2" bestFit="1" customWidth="1"/>
    <col min="9540" max="9540" width="7.7109375" style="2" bestFit="1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8.85546875" style="2" customWidth="1"/>
    <col min="9545" max="9545" width="9.42578125" style="2" customWidth="1"/>
    <col min="9546" max="9547" width="7.7109375" style="2" bestFit="1" customWidth="1"/>
    <col min="9548" max="9548" width="8.85546875" style="2" customWidth="1"/>
    <col min="9549" max="9549" width="9.42578125" style="2" customWidth="1"/>
    <col min="9550" max="9551" width="7.7109375" style="2" bestFit="1" customWidth="1"/>
    <col min="9552" max="9552" width="9.140625" style="2" customWidth="1"/>
    <col min="9553" max="9553" width="10" style="2" customWidth="1"/>
    <col min="9554" max="9554" width="9.5703125" style="2" customWidth="1"/>
    <col min="9555" max="9555" width="9.28515625" style="2" bestFit="1" customWidth="1"/>
    <col min="9556" max="9556" width="9.28515625" style="2" customWidth="1"/>
    <col min="9557" max="9557" width="9.28515625" style="2" bestFit="1" customWidth="1"/>
    <col min="9558" max="9558" width="10.28515625" style="2" customWidth="1"/>
    <col min="9559" max="9559" width="7.7109375" style="2" bestFit="1" customWidth="1"/>
    <col min="9560" max="9560" width="8" style="2" customWidth="1"/>
    <col min="9561" max="9561" width="8.5703125" style="2" customWidth="1"/>
    <col min="9562" max="9562" width="9.7109375" style="2" customWidth="1"/>
    <col min="9563" max="9563" width="9.42578125" style="2" customWidth="1"/>
    <col min="9564" max="9564" width="9.140625" style="2" customWidth="1"/>
    <col min="9565" max="9565" width="11.42578125" style="2" customWidth="1"/>
    <col min="9566" max="9566" width="12.5703125" style="2" customWidth="1"/>
    <col min="9567" max="9567" width="10.28515625" style="2" customWidth="1"/>
    <col min="9568" max="9568" width="7.7109375" style="2" bestFit="1" customWidth="1"/>
    <col min="9569" max="9569" width="8.28515625" style="2" bestFit="1" customWidth="1"/>
    <col min="9570" max="9571" width="7.7109375" style="2" bestFit="1" customWidth="1"/>
    <col min="9572" max="9572" width="6.5703125" style="2" bestFit="1" customWidth="1"/>
    <col min="9573" max="9573" width="8.28515625" style="2" bestFit="1" customWidth="1"/>
    <col min="9574" max="9574" width="6.5703125" style="2" bestFit="1" customWidth="1"/>
    <col min="9575" max="9575" width="7.140625" style="2" bestFit="1" customWidth="1"/>
    <col min="9576" max="9576" width="7.7109375" style="2" bestFit="1" customWidth="1"/>
    <col min="9577" max="9577" width="8.28515625" style="2" bestFit="1" customWidth="1"/>
    <col min="9578" max="9580" width="7.7109375" style="2" bestFit="1" customWidth="1"/>
    <col min="9581" max="9581" width="8.28515625" style="2" bestFit="1" customWidth="1"/>
    <col min="9582" max="9583" width="7.7109375" style="2" bestFit="1" customWidth="1"/>
    <col min="9584" max="9585" width="9.85546875" style="2" customWidth="1"/>
    <col min="9586" max="9586" width="8.5703125" style="2" customWidth="1"/>
    <col min="9587" max="9588" width="8.85546875" style="2" customWidth="1"/>
    <col min="9589" max="9589" width="9.7109375" style="2" customWidth="1"/>
    <col min="9590" max="9590" width="8.5703125" style="2" customWidth="1"/>
    <col min="9591" max="9591" width="7.7109375" style="2" bestFit="1" customWidth="1"/>
    <col min="9592" max="9592" width="7.5703125" style="2" customWidth="1"/>
    <col min="9593" max="9593" width="8.28515625" style="2" bestFit="1" customWidth="1"/>
    <col min="9594" max="9594" width="8.28515625" style="2" customWidth="1"/>
    <col min="9595" max="9595" width="7.140625" style="2" bestFit="1" customWidth="1"/>
    <col min="9596" max="9596" width="9" style="2" customWidth="1"/>
    <col min="9597" max="9597" width="9.5703125" style="2" customWidth="1"/>
    <col min="9598" max="9598" width="9.7109375" style="2" customWidth="1"/>
    <col min="9599" max="9599" width="10.85546875" style="2" customWidth="1"/>
    <col min="9600" max="9600" width="10.42578125" style="2" customWidth="1"/>
    <col min="9601" max="9602" width="11.28515625" style="2" customWidth="1"/>
    <col min="9603" max="9603" width="11" style="2" customWidth="1"/>
    <col min="9604" max="9604" width="6.7109375" style="2" customWidth="1"/>
    <col min="9605" max="9607" width="9.85546875" style="2"/>
    <col min="9608" max="9608" width="13.140625" style="2" customWidth="1"/>
    <col min="9609" max="9685" width="9.85546875" style="2"/>
    <col min="9686" max="9686" width="27.5703125" style="2" customWidth="1"/>
    <col min="9687" max="9687" width="5.28515625" style="2" customWidth="1"/>
    <col min="9688" max="9689" width="9" style="2" customWidth="1"/>
    <col min="9690" max="9690" width="9.5703125" style="2" customWidth="1"/>
    <col min="9691" max="9691" width="9.7109375" style="2" customWidth="1"/>
    <col min="9692" max="9692" width="7.5703125" style="2" customWidth="1"/>
    <col min="9693" max="9693" width="10.42578125" style="2" customWidth="1"/>
    <col min="9694" max="9694" width="9.140625" style="2" bestFit="1" customWidth="1"/>
    <col min="9695" max="9695" width="7.28515625" style="2" customWidth="1"/>
    <col min="9696" max="9697" width="9.28515625" style="2" customWidth="1"/>
    <col min="9698" max="9698" width="9.5703125" style="2" customWidth="1"/>
    <col min="9699" max="9700" width="9" style="2" customWidth="1"/>
    <col min="9701" max="9701" width="8" style="2" customWidth="1"/>
    <col min="9702" max="9702" width="8.5703125" style="2" customWidth="1"/>
    <col min="9703" max="9703" width="8.28515625" style="2" customWidth="1"/>
    <col min="9704" max="9704" width="9.5703125" style="2" customWidth="1"/>
    <col min="9705" max="9705" width="8.42578125" style="2" customWidth="1"/>
    <col min="9706" max="9706" width="8.140625" style="2" customWidth="1"/>
    <col min="9707" max="9707" width="7.5703125" style="2" customWidth="1"/>
    <col min="9708" max="9708" width="9.140625" style="2" customWidth="1"/>
    <col min="9709" max="9709" width="9" style="2" customWidth="1"/>
    <col min="9710" max="9710" width="8.5703125" style="2" customWidth="1"/>
    <col min="9711" max="9711" width="7.85546875" style="2" customWidth="1"/>
    <col min="9712" max="9712" width="6.7109375" style="2" customWidth="1"/>
    <col min="9713" max="9713" width="5.7109375" style="2" customWidth="1"/>
    <col min="9714" max="9714" width="6.28515625" style="2" customWidth="1"/>
    <col min="9715" max="9715" width="6.5703125" style="2" customWidth="1"/>
    <col min="9716" max="9716" width="8.7109375" style="2" customWidth="1"/>
    <col min="9717" max="9717" width="9" style="2" customWidth="1"/>
    <col min="9718" max="9718" width="8.28515625" style="2" customWidth="1"/>
    <col min="9719" max="9719" width="8.42578125" style="2" customWidth="1"/>
    <col min="9720" max="9720" width="9.85546875" style="2" customWidth="1"/>
    <col min="9721" max="9721" width="10" style="2" customWidth="1"/>
    <col min="9722" max="9722" width="10.140625" style="2" customWidth="1"/>
    <col min="9723" max="9723" width="10.5703125" style="2" customWidth="1"/>
    <col min="9724" max="9724" width="8.140625" style="2" customWidth="1"/>
    <col min="9725" max="9725" width="7.85546875" style="2" customWidth="1"/>
    <col min="9726" max="9726" width="9" style="2" customWidth="1"/>
    <col min="9727" max="9727" width="10" style="2" customWidth="1"/>
    <col min="9728" max="9728" width="10.28515625" style="2" customWidth="1"/>
    <col min="9729" max="9729" width="10.140625" style="2" customWidth="1"/>
    <col min="9730" max="9730" width="10.5703125" style="2" customWidth="1"/>
    <col min="9731" max="9731" width="10.28515625" style="2" customWidth="1"/>
    <col min="9732" max="9732" width="9.7109375" style="2" customWidth="1"/>
    <col min="9733" max="9733" width="9.140625" style="2" bestFit="1" customWidth="1"/>
    <col min="9734" max="9734" width="9.28515625" style="2" customWidth="1"/>
    <col min="9735" max="9735" width="9" style="2" customWidth="1"/>
    <col min="9736" max="9736" width="8" style="2" customWidth="1"/>
    <col min="9737" max="9737" width="8.28515625" style="2" customWidth="1"/>
    <col min="9738" max="9738" width="7.85546875" style="2" customWidth="1"/>
    <col min="9739" max="9739" width="9" style="2" customWidth="1"/>
    <col min="9740" max="9740" width="8.42578125" style="2" customWidth="1"/>
    <col min="9741" max="9741" width="8.28515625" style="2" bestFit="1" customWidth="1"/>
    <col min="9742" max="9743" width="9" style="2" customWidth="1"/>
    <col min="9744" max="9744" width="7.140625" style="2" customWidth="1"/>
    <col min="9745" max="9745" width="9.140625" style="2" customWidth="1"/>
    <col min="9746" max="9746" width="7.7109375" style="2" customWidth="1"/>
    <col min="9747" max="9747" width="7.5703125" style="2" customWidth="1"/>
    <col min="9748" max="9748" width="10" style="2" customWidth="1"/>
    <col min="9749" max="9750" width="10.140625" style="2" bestFit="1" customWidth="1"/>
    <col min="9751" max="9751" width="12.7109375" style="2" bestFit="1" customWidth="1"/>
    <col min="9752" max="9752" width="9.140625" style="2" customWidth="1"/>
    <col min="9753" max="9753" width="9" style="2" customWidth="1"/>
    <col min="9754" max="9754" width="8.85546875" style="2" customWidth="1"/>
    <col min="9755" max="9755" width="10.42578125" style="2" customWidth="1"/>
    <col min="9756" max="9756" width="8.7109375" style="2" customWidth="1"/>
    <col min="9757" max="9757" width="8.140625" style="2" customWidth="1"/>
    <col min="9758" max="9758" width="7.7109375" style="2" customWidth="1"/>
    <col min="9759" max="9759" width="9.7109375" style="2" customWidth="1"/>
    <col min="9760" max="9760" width="6.5703125" style="2" bestFit="1" customWidth="1"/>
    <col min="9761" max="9762" width="7.5703125" style="2" customWidth="1"/>
    <col min="9763" max="9763" width="7.7109375" style="2" customWidth="1"/>
    <col min="9764" max="9765" width="9.28515625" style="2" bestFit="1" customWidth="1"/>
    <col min="9766" max="9766" width="9.5703125" style="2" customWidth="1"/>
    <col min="9767" max="9767" width="9.140625" style="2" customWidth="1"/>
    <col min="9768" max="9769" width="7.85546875" style="2" customWidth="1"/>
    <col min="9770" max="9770" width="9.42578125" style="2" customWidth="1"/>
    <col min="9771" max="9771" width="10" style="2" customWidth="1"/>
    <col min="9772" max="9772" width="6.42578125" style="2" customWidth="1"/>
    <col min="9773" max="9773" width="9" style="2" customWidth="1"/>
    <col min="9774" max="9774" width="8.85546875" style="2" customWidth="1"/>
    <col min="9775" max="9775" width="7.7109375" style="2" customWidth="1"/>
    <col min="9776" max="9776" width="9.7109375" style="2" customWidth="1"/>
    <col min="9777" max="9777" width="9.42578125" style="2" customWidth="1"/>
    <col min="9778" max="9778" width="9.85546875" style="2" customWidth="1"/>
    <col min="9779" max="9779" width="7.7109375" style="2" customWidth="1"/>
    <col min="9780" max="9780" width="8.5703125" style="2" customWidth="1"/>
    <col min="9781" max="9781" width="9.140625" style="2" customWidth="1"/>
    <col min="9782" max="9782" width="10.140625" style="2" customWidth="1"/>
    <col min="9783" max="9783" width="10.42578125" style="2" customWidth="1"/>
    <col min="9784" max="9785" width="7.85546875" style="2" customWidth="1"/>
    <col min="9786" max="9786" width="8.28515625" style="2" customWidth="1"/>
    <col min="9787" max="9787" width="10.42578125" style="2" customWidth="1"/>
    <col min="9788" max="9789" width="7.85546875" style="2" customWidth="1"/>
    <col min="9790" max="9790" width="8.28515625" style="2" customWidth="1"/>
    <col min="9791" max="9791" width="10.42578125" style="2" customWidth="1"/>
    <col min="9792" max="9792" width="8.5703125" style="2" customWidth="1"/>
    <col min="9793" max="9793" width="8.85546875" style="2" customWidth="1"/>
    <col min="9794" max="9794" width="8.7109375" style="2" customWidth="1"/>
    <col min="9795" max="9795" width="7.140625" style="2" bestFit="1" customWidth="1"/>
    <col min="9796" max="9796" width="7.7109375" style="2" bestFit="1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8.85546875" style="2" customWidth="1"/>
    <col min="9801" max="9801" width="9.42578125" style="2" customWidth="1"/>
    <col min="9802" max="9803" width="7.7109375" style="2" bestFit="1" customWidth="1"/>
    <col min="9804" max="9804" width="8.85546875" style="2" customWidth="1"/>
    <col min="9805" max="9805" width="9.42578125" style="2" customWidth="1"/>
    <col min="9806" max="9807" width="7.7109375" style="2" bestFit="1" customWidth="1"/>
    <col min="9808" max="9808" width="9.140625" style="2" customWidth="1"/>
    <col min="9809" max="9809" width="10" style="2" customWidth="1"/>
    <col min="9810" max="9810" width="9.5703125" style="2" customWidth="1"/>
    <col min="9811" max="9811" width="9.28515625" style="2" bestFit="1" customWidth="1"/>
    <col min="9812" max="9812" width="9.28515625" style="2" customWidth="1"/>
    <col min="9813" max="9813" width="9.28515625" style="2" bestFit="1" customWidth="1"/>
    <col min="9814" max="9814" width="10.28515625" style="2" customWidth="1"/>
    <col min="9815" max="9815" width="7.7109375" style="2" bestFit="1" customWidth="1"/>
    <col min="9816" max="9816" width="8" style="2" customWidth="1"/>
    <col min="9817" max="9817" width="8.5703125" style="2" customWidth="1"/>
    <col min="9818" max="9818" width="9.7109375" style="2" customWidth="1"/>
    <col min="9819" max="9819" width="9.42578125" style="2" customWidth="1"/>
    <col min="9820" max="9820" width="9.140625" style="2" customWidth="1"/>
    <col min="9821" max="9821" width="11.42578125" style="2" customWidth="1"/>
    <col min="9822" max="9822" width="12.5703125" style="2" customWidth="1"/>
    <col min="9823" max="9823" width="10.28515625" style="2" customWidth="1"/>
    <col min="9824" max="9824" width="7.7109375" style="2" bestFit="1" customWidth="1"/>
    <col min="9825" max="9825" width="8.28515625" style="2" bestFit="1" customWidth="1"/>
    <col min="9826" max="9827" width="7.7109375" style="2" bestFit="1" customWidth="1"/>
    <col min="9828" max="9828" width="6.5703125" style="2" bestFit="1" customWidth="1"/>
    <col min="9829" max="9829" width="8.28515625" style="2" bestFit="1" customWidth="1"/>
    <col min="9830" max="9830" width="6.5703125" style="2" bestFit="1" customWidth="1"/>
    <col min="9831" max="9831" width="7.140625" style="2" bestFit="1" customWidth="1"/>
    <col min="9832" max="9832" width="7.7109375" style="2" bestFit="1" customWidth="1"/>
    <col min="9833" max="9833" width="8.28515625" style="2" bestFit="1" customWidth="1"/>
    <col min="9834" max="9836" width="7.7109375" style="2" bestFit="1" customWidth="1"/>
    <col min="9837" max="9837" width="8.28515625" style="2" bestFit="1" customWidth="1"/>
    <col min="9838" max="9839" width="7.7109375" style="2" bestFit="1" customWidth="1"/>
    <col min="9840" max="9841" width="9.85546875" style="2" customWidth="1"/>
    <col min="9842" max="9842" width="8.5703125" style="2" customWidth="1"/>
    <col min="9843" max="9844" width="8.85546875" style="2" customWidth="1"/>
    <col min="9845" max="9845" width="9.7109375" style="2" customWidth="1"/>
    <col min="9846" max="9846" width="8.5703125" style="2" customWidth="1"/>
    <col min="9847" max="9847" width="7.7109375" style="2" bestFit="1" customWidth="1"/>
    <col min="9848" max="9848" width="7.5703125" style="2" customWidth="1"/>
    <col min="9849" max="9849" width="8.28515625" style="2" bestFit="1" customWidth="1"/>
    <col min="9850" max="9850" width="8.28515625" style="2" customWidth="1"/>
    <col min="9851" max="9851" width="7.140625" style="2" bestFit="1" customWidth="1"/>
    <col min="9852" max="9852" width="9" style="2" customWidth="1"/>
    <col min="9853" max="9853" width="9.5703125" style="2" customWidth="1"/>
    <col min="9854" max="9854" width="9.7109375" style="2" customWidth="1"/>
    <col min="9855" max="9855" width="10.85546875" style="2" customWidth="1"/>
    <col min="9856" max="9856" width="10.42578125" style="2" customWidth="1"/>
    <col min="9857" max="9858" width="11.28515625" style="2" customWidth="1"/>
    <col min="9859" max="9859" width="11" style="2" customWidth="1"/>
    <col min="9860" max="9860" width="6.7109375" style="2" customWidth="1"/>
    <col min="9861" max="9863" width="9.85546875" style="2"/>
    <col min="9864" max="9864" width="13.140625" style="2" customWidth="1"/>
    <col min="9865" max="9941" width="9.85546875" style="2"/>
    <col min="9942" max="9942" width="27.5703125" style="2" customWidth="1"/>
    <col min="9943" max="9943" width="5.28515625" style="2" customWidth="1"/>
    <col min="9944" max="9945" width="9" style="2" customWidth="1"/>
    <col min="9946" max="9946" width="9.5703125" style="2" customWidth="1"/>
    <col min="9947" max="9947" width="9.7109375" style="2" customWidth="1"/>
    <col min="9948" max="9948" width="7.5703125" style="2" customWidth="1"/>
    <col min="9949" max="9949" width="10.42578125" style="2" customWidth="1"/>
    <col min="9950" max="9950" width="9.140625" style="2" bestFit="1" customWidth="1"/>
    <col min="9951" max="9951" width="7.28515625" style="2" customWidth="1"/>
    <col min="9952" max="9953" width="9.28515625" style="2" customWidth="1"/>
    <col min="9954" max="9954" width="9.5703125" style="2" customWidth="1"/>
    <col min="9955" max="9956" width="9" style="2" customWidth="1"/>
    <col min="9957" max="9957" width="8" style="2" customWidth="1"/>
    <col min="9958" max="9958" width="8.5703125" style="2" customWidth="1"/>
    <col min="9959" max="9959" width="8.28515625" style="2" customWidth="1"/>
    <col min="9960" max="9960" width="9.5703125" style="2" customWidth="1"/>
    <col min="9961" max="9961" width="8.42578125" style="2" customWidth="1"/>
    <col min="9962" max="9962" width="8.140625" style="2" customWidth="1"/>
    <col min="9963" max="9963" width="7.5703125" style="2" customWidth="1"/>
    <col min="9964" max="9964" width="9.140625" style="2" customWidth="1"/>
    <col min="9965" max="9965" width="9" style="2" customWidth="1"/>
    <col min="9966" max="9966" width="8.5703125" style="2" customWidth="1"/>
    <col min="9967" max="9967" width="7.85546875" style="2" customWidth="1"/>
    <col min="9968" max="9968" width="6.7109375" style="2" customWidth="1"/>
    <col min="9969" max="9969" width="5.7109375" style="2" customWidth="1"/>
    <col min="9970" max="9970" width="6.28515625" style="2" customWidth="1"/>
    <col min="9971" max="9971" width="6.5703125" style="2" customWidth="1"/>
    <col min="9972" max="9972" width="8.7109375" style="2" customWidth="1"/>
    <col min="9973" max="9973" width="9" style="2" customWidth="1"/>
    <col min="9974" max="9974" width="8.28515625" style="2" customWidth="1"/>
    <col min="9975" max="9975" width="8.42578125" style="2" customWidth="1"/>
    <col min="9976" max="9976" width="9.85546875" style="2" customWidth="1"/>
    <col min="9977" max="9977" width="10" style="2" customWidth="1"/>
    <col min="9978" max="9978" width="10.140625" style="2" customWidth="1"/>
    <col min="9979" max="9979" width="10.5703125" style="2" customWidth="1"/>
    <col min="9980" max="9980" width="8.140625" style="2" customWidth="1"/>
    <col min="9981" max="9981" width="7.85546875" style="2" customWidth="1"/>
    <col min="9982" max="9982" width="9" style="2" customWidth="1"/>
    <col min="9983" max="9983" width="10" style="2" customWidth="1"/>
    <col min="9984" max="9984" width="10.28515625" style="2" customWidth="1"/>
    <col min="9985" max="9985" width="10.140625" style="2" customWidth="1"/>
    <col min="9986" max="9986" width="10.5703125" style="2" customWidth="1"/>
    <col min="9987" max="9987" width="10.28515625" style="2" customWidth="1"/>
    <col min="9988" max="9988" width="9.7109375" style="2" customWidth="1"/>
    <col min="9989" max="9989" width="9.140625" style="2" bestFit="1" customWidth="1"/>
    <col min="9990" max="9990" width="9.28515625" style="2" customWidth="1"/>
    <col min="9991" max="9991" width="9" style="2" customWidth="1"/>
    <col min="9992" max="9992" width="8" style="2" customWidth="1"/>
    <col min="9993" max="9993" width="8.28515625" style="2" customWidth="1"/>
    <col min="9994" max="9994" width="7.85546875" style="2" customWidth="1"/>
    <col min="9995" max="9995" width="9" style="2" customWidth="1"/>
    <col min="9996" max="9996" width="8.42578125" style="2" customWidth="1"/>
    <col min="9997" max="9997" width="8.28515625" style="2" bestFit="1" customWidth="1"/>
    <col min="9998" max="9999" width="9" style="2" customWidth="1"/>
    <col min="10000" max="10000" width="7.140625" style="2" customWidth="1"/>
    <col min="10001" max="10001" width="9.140625" style="2" customWidth="1"/>
    <col min="10002" max="10002" width="7.7109375" style="2" customWidth="1"/>
    <col min="10003" max="10003" width="7.5703125" style="2" customWidth="1"/>
    <col min="10004" max="10004" width="10" style="2" customWidth="1"/>
    <col min="10005" max="10006" width="10.140625" style="2" bestFit="1" customWidth="1"/>
    <col min="10007" max="10007" width="12.7109375" style="2" bestFit="1" customWidth="1"/>
    <col min="10008" max="10008" width="9.140625" style="2" customWidth="1"/>
    <col min="10009" max="10009" width="9" style="2" customWidth="1"/>
    <col min="10010" max="10010" width="8.85546875" style="2" customWidth="1"/>
    <col min="10011" max="10011" width="10.42578125" style="2" customWidth="1"/>
    <col min="10012" max="10012" width="8.7109375" style="2" customWidth="1"/>
    <col min="10013" max="10013" width="8.140625" style="2" customWidth="1"/>
    <col min="10014" max="10014" width="7.7109375" style="2" customWidth="1"/>
    <col min="10015" max="10015" width="9.7109375" style="2" customWidth="1"/>
    <col min="10016" max="10016" width="6.5703125" style="2" bestFit="1" customWidth="1"/>
    <col min="10017" max="10018" width="7.5703125" style="2" customWidth="1"/>
    <col min="10019" max="10019" width="7.7109375" style="2" customWidth="1"/>
    <col min="10020" max="10021" width="9.28515625" style="2" bestFit="1" customWidth="1"/>
    <col min="10022" max="10022" width="9.5703125" style="2" customWidth="1"/>
    <col min="10023" max="10023" width="9.140625" style="2" customWidth="1"/>
    <col min="10024" max="10025" width="7.85546875" style="2" customWidth="1"/>
    <col min="10026" max="10026" width="9.42578125" style="2" customWidth="1"/>
    <col min="10027" max="10027" width="10" style="2" customWidth="1"/>
    <col min="10028" max="10028" width="6.42578125" style="2" customWidth="1"/>
    <col min="10029" max="10029" width="9" style="2" customWidth="1"/>
    <col min="10030" max="10030" width="8.85546875" style="2" customWidth="1"/>
    <col min="10031" max="10031" width="7.7109375" style="2" customWidth="1"/>
    <col min="10032" max="10032" width="9.7109375" style="2" customWidth="1"/>
    <col min="10033" max="10033" width="9.42578125" style="2" customWidth="1"/>
    <col min="10034" max="10034" width="9.85546875" style="2" customWidth="1"/>
    <col min="10035" max="10035" width="7.7109375" style="2" customWidth="1"/>
    <col min="10036" max="10036" width="8.5703125" style="2" customWidth="1"/>
    <col min="10037" max="10037" width="9.140625" style="2" customWidth="1"/>
    <col min="10038" max="10038" width="10.140625" style="2" customWidth="1"/>
    <col min="10039" max="10039" width="10.42578125" style="2" customWidth="1"/>
    <col min="10040" max="10041" width="7.85546875" style="2" customWidth="1"/>
    <col min="10042" max="10042" width="8.28515625" style="2" customWidth="1"/>
    <col min="10043" max="10043" width="10.42578125" style="2" customWidth="1"/>
    <col min="10044" max="10045" width="7.85546875" style="2" customWidth="1"/>
    <col min="10046" max="10046" width="8.28515625" style="2" customWidth="1"/>
    <col min="10047" max="10047" width="10.42578125" style="2" customWidth="1"/>
    <col min="10048" max="10048" width="8.5703125" style="2" customWidth="1"/>
    <col min="10049" max="10049" width="8.85546875" style="2" customWidth="1"/>
    <col min="10050" max="10050" width="8.7109375" style="2" customWidth="1"/>
    <col min="10051" max="10051" width="7.140625" style="2" bestFit="1" customWidth="1"/>
    <col min="10052" max="10052" width="7.7109375" style="2" bestFit="1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8.85546875" style="2" customWidth="1"/>
    <col min="10057" max="10057" width="9.42578125" style="2" customWidth="1"/>
    <col min="10058" max="10059" width="7.7109375" style="2" bestFit="1" customWidth="1"/>
    <col min="10060" max="10060" width="8.85546875" style="2" customWidth="1"/>
    <col min="10061" max="10061" width="9.42578125" style="2" customWidth="1"/>
    <col min="10062" max="10063" width="7.7109375" style="2" bestFit="1" customWidth="1"/>
    <col min="10064" max="10064" width="9.140625" style="2" customWidth="1"/>
    <col min="10065" max="10065" width="10" style="2" customWidth="1"/>
    <col min="10066" max="10066" width="9.5703125" style="2" customWidth="1"/>
    <col min="10067" max="10067" width="9.28515625" style="2" bestFit="1" customWidth="1"/>
    <col min="10068" max="10068" width="9.28515625" style="2" customWidth="1"/>
    <col min="10069" max="10069" width="9.28515625" style="2" bestFit="1" customWidth="1"/>
    <col min="10070" max="10070" width="10.28515625" style="2" customWidth="1"/>
    <col min="10071" max="10071" width="7.7109375" style="2" bestFit="1" customWidth="1"/>
    <col min="10072" max="10072" width="8" style="2" customWidth="1"/>
    <col min="10073" max="10073" width="8.5703125" style="2" customWidth="1"/>
    <col min="10074" max="10074" width="9.7109375" style="2" customWidth="1"/>
    <col min="10075" max="10075" width="9.42578125" style="2" customWidth="1"/>
    <col min="10076" max="10076" width="9.140625" style="2" customWidth="1"/>
    <col min="10077" max="10077" width="11.42578125" style="2" customWidth="1"/>
    <col min="10078" max="10078" width="12.5703125" style="2" customWidth="1"/>
    <col min="10079" max="10079" width="10.28515625" style="2" customWidth="1"/>
    <col min="10080" max="10080" width="7.7109375" style="2" bestFit="1" customWidth="1"/>
    <col min="10081" max="10081" width="8.28515625" style="2" bestFit="1" customWidth="1"/>
    <col min="10082" max="10083" width="7.7109375" style="2" bestFit="1" customWidth="1"/>
    <col min="10084" max="10084" width="6.5703125" style="2" bestFit="1" customWidth="1"/>
    <col min="10085" max="10085" width="8.28515625" style="2" bestFit="1" customWidth="1"/>
    <col min="10086" max="10086" width="6.5703125" style="2" bestFit="1" customWidth="1"/>
    <col min="10087" max="10087" width="7.140625" style="2" bestFit="1" customWidth="1"/>
    <col min="10088" max="10088" width="7.7109375" style="2" bestFit="1" customWidth="1"/>
    <col min="10089" max="10089" width="8.28515625" style="2" bestFit="1" customWidth="1"/>
    <col min="10090" max="10092" width="7.7109375" style="2" bestFit="1" customWidth="1"/>
    <col min="10093" max="10093" width="8.28515625" style="2" bestFit="1" customWidth="1"/>
    <col min="10094" max="10095" width="7.7109375" style="2" bestFit="1" customWidth="1"/>
    <col min="10096" max="10097" width="9.85546875" style="2" customWidth="1"/>
    <col min="10098" max="10098" width="8.5703125" style="2" customWidth="1"/>
    <col min="10099" max="10100" width="8.85546875" style="2" customWidth="1"/>
    <col min="10101" max="10101" width="9.7109375" style="2" customWidth="1"/>
    <col min="10102" max="10102" width="8.5703125" style="2" customWidth="1"/>
    <col min="10103" max="10103" width="7.7109375" style="2" bestFit="1" customWidth="1"/>
    <col min="10104" max="10104" width="7.5703125" style="2" customWidth="1"/>
    <col min="10105" max="10105" width="8.28515625" style="2" bestFit="1" customWidth="1"/>
    <col min="10106" max="10106" width="8.28515625" style="2" customWidth="1"/>
    <col min="10107" max="10107" width="7.140625" style="2" bestFit="1" customWidth="1"/>
    <col min="10108" max="10108" width="9" style="2" customWidth="1"/>
    <col min="10109" max="10109" width="9.5703125" style="2" customWidth="1"/>
    <col min="10110" max="10110" width="9.7109375" style="2" customWidth="1"/>
    <col min="10111" max="10111" width="10.85546875" style="2" customWidth="1"/>
    <col min="10112" max="10112" width="10.42578125" style="2" customWidth="1"/>
    <col min="10113" max="10114" width="11.28515625" style="2" customWidth="1"/>
    <col min="10115" max="10115" width="11" style="2" customWidth="1"/>
    <col min="10116" max="10116" width="6.7109375" style="2" customWidth="1"/>
    <col min="10117" max="10119" width="9.85546875" style="2"/>
    <col min="10120" max="10120" width="13.140625" style="2" customWidth="1"/>
    <col min="10121" max="10197" width="9.85546875" style="2"/>
    <col min="10198" max="10198" width="27.5703125" style="2" customWidth="1"/>
    <col min="10199" max="10199" width="5.28515625" style="2" customWidth="1"/>
    <col min="10200" max="10201" width="9" style="2" customWidth="1"/>
    <col min="10202" max="10202" width="9.5703125" style="2" customWidth="1"/>
    <col min="10203" max="10203" width="9.7109375" style="2" customWidth="1"/>
    <col min="10204" max="10204" width="7.5703125" style="2" customWidth="1"/>
    <col min="10205" max="10205" width="10.42578125" style="2" customWidth="1"/>
    <col min="10206" max="10206" width="9.140625" style="2" bestFit="1" customWidth="1"/>
    <col min="10207" max="10207" width="7.28515625" style="2" customWidth="1"/>
    <col min="10208" max="10209" width="9.28515625" style="2" customWidth="1"/>
    <col min="10210" max="10210" width="9.5703125" style="2" customWidth="1"/>
    <col min="10211" max="10212" width="9" style="2" customWidth="1"/>
    <col min="10213" max="10213" width="8" style="2" customWidth="1"/>
    <col min="10214" max="10214" width="8.5703125" style="2" customWidth="1"/>
    <col min="10215" max="10215" width="8.28515625" style="2" customWidth="1"/>
    <col min="10216" max="10216" width="9.5703125" style="2" customWidth="1"/>
    <col min="10217" max="10217" width="8.42578125" style="2" customWidth="1"/>
    <col min="10218" max="10218" width="8.140625" style="2" customWidth="1"/>
    <col min="10219" max="10219" width="7.5703125" style="2" customWidth="1"/>
    <col min="10220" max="10220" width="9.140625" style="2" customWidth="1"/>
    <col min="10221" max="10221" width="9" style="2" customWidth="1"/>
    <col min="10222" max="10222" width="8.5703125" style="2" customWidth="1"/>
    <col min="10223" max="10223" width="7.85546875" style="2" customWidth="1"/>
    <col min="10224" max="10224" width="6.7109375" style="2" customWidth="1"/>
    <col min="10225" max="10225" width="5.7109375" style="2" customWidth="1"/>
    <col min="10226" max="10226" width="6.28515625" style="2" customWidth="1"/>
    <col min="10227" max="10227" width="6.5703125" style="2" customWidth="1"/>
    <col min="10228" max="10228" width="8.7109375" style="2" customWidth="1"/>
    <col min="10229" max="10229" width="9" style="2" customWidth="1"/>
    <col min="10230" max="10230" width="8.28515625" style="2" customWidth="1"/>
    <col min="10231" max="10231" width="8.42578125" style="2" customWidth="1"/>
    <col min="10232" max="10232" width="9.85546875" style="2" customWidth="1"/>
    <col min="10233" max="10233" width="10" style="2" customWidth="1"/>
    <col min="10234" max="10234" width="10.140625" style="2" customWidth="1"/>
    <col min="10235" max="10235" width="10.5703125" style="2" customWidth="1"/>
    <col min="10236" max="10236" width="8.140625" style="2" customWidth="1"/>
    <col min="10237" max="10237" width="7.85546875" style="2" customWidth="1"/>
    <col min="10238" max="10238" width="9" style="2" customWidth="1"/>
    <col min="10239" max="10239" width="10" style="2" customWidth="1"/>
    <col min="10240" max="10240" width="10.28515625" style="2" customWidth="1"/>
    <col min="10241" max="10241" width="10.140625" style="2" customWidth="1"/>
    <col min="10242" max="10242" width="10.5703125" style="2" customWidth="1"/>
    <col min="10243" max="10243" width="10.28515625" style="2" customWidth="1"/>
    <col min="10244" max="10244" width="9.7109375" style="2" customWidth="1"/>
    <col min="10245" max="10245" width="9.140625" style="2" bestFit="1" customWidth="1"/>
    <col min="10246" max="10246" width="9.28515625" style="2" customWidth="1"/>
    <col min="10247" max="10247" width="9" style="2" customWidth="1"/>
    <col min="10248" max="10248" width="8" style="2" customWidth="1"/>
    <col min="10249" max="10249" width="8.28515625" style="2" customWidth="1"/>
    <col min="10250" max="10250" width="7.85546875" style="2" customWidth="1"/>
    <col min="10251" max="10251" width="9" style="2" customWidth="1"/>
    <col min="10252" max="10252" width="8.42578125" style="2" customWidth="1"/>
    <col min="10253" max="10253" width="8.28515625" style="2" bestFit="1" customWidth="1"/>
    <col min="10254" max="10255" width="9" style="2" customWidth="1"/>
    <col min="10256" max="10256" width="7.140625" style="2" customWidth="1"/>
    <col min="10257" max="10257" width="9.140625" style="2" customWidth="1"/>
    <col min="10258" max="10258" width="7.7109375" style="2" customWidth="1"/>
    <col min="10259" max="10259" width="7.5703125" style="2" customWidth="1"/>
    <col min="10260" max="10260" width="10" style="2" customWidth="1"/>
    <col min="10261" max="10262" width="10.140625" style="2" bestFit="1" customWidth="1"/>
    <col min="10263" max="10263" width="12.7109375" style="2" bestFit="1" customWidth="1"/>
    <col min="10264" max="10264" width="9.140625" style="2" customWidth="1"/>
    <col min="10265" max="10265" width="9" style="2" customWidth="1"/>
    <col min="10266" max="10266" width="8.85546875" style="2" customWidth="1"/>
    <col min="10267" max="10267" width="10.42578125" style="2" customWidth="1"/>
    <col min="10268" max="10268" width="8.7109375" style="2" customWidth="1"/>
    <col min="10269" max="10269" width="8.140625" style="2" customWidth="1"/>
    <col min="10270" max="10270" width="7.7109375" style="2" customWidth="1"/>
    <col min="10271" max="10271" width="9.7109375" style="2" customWidth="1"/>
    <col min="10272" max="10272" width="6.5703125" style="2" bestFit="1" customWidth="1"/>
    <col min="10273" max="10274" width="7.5703125" style="2" customWidth="1"/>
    <col min="10275" max="10275" width="7.7109375" style="2" customWidth="1"/>
    <col min="10276" max="10277" width="9.28515625" style="2" bestFit="1" customWidth="1"/>
    <col min="10278" max="10278" width="9.5703125" style="2" customWidth="1"/>
    <col min="10279" max="10279" width="9.140625" style="2" customWidth="1"/>
    <col min="10280" max="10281" width="7.85546875" style="2" customWidth="1"/>
    <col min="10282" max="10282" width="9.42578125" style="2" customWidth="1"/>
    <col min="10283" max="10283" width="10" style="2" customWidth="1"/>
    <col min="10284" max="10284" width="6.42578125" style="2" customWidth="1"/>
    <col min="10285" max="10285" width="9" style="2" customWidth="1"/>
    <col min="10286" max="10286" width="8.85546875" style="2" customWidth="1"/>
    <col min="10287" max="10287" width="7.7109375" style="2" customWidth="1"/>
    <col min="10288" max="10288" width="9.7109375" style="2" customWidth="1"/>
    <col min="10289" max="10289" width="9.42578125" style="2" customWidth="1"/>
    <col min="10290" max="10290" width="9.85546875" style="2" customWidth="1"/>
    <col min="10291" max="10291" width="7.7109375" style="2" customWidth="1"/>
    <col min="10292" max="10292" width="8.5703125" style="2" customWidth="1"/>
    <col min="10293" max="10293" width="9.140625" style="2" customWidth="1"/>
    <col min="10294" max="10294" width="10.140625" style="2" customWidth="1"/>
    <col min="10295" max="10295" width="10.42578125" style="2" customWidth="1"/>
    <col min="10296" max="10297" width="7.85546875" style="2" customWidth="1"/>
    <col min="10298" max="10298" width="8.28515625" style="2" customWidth="1"/>
    <col min="10299" max="10299" width="10.42578125" style="2" customWidth="1"/>
    <col min="10300" max="10301" width="7.85546875" style="2" customWidth="1"/>
    <col min="10302" max="10302" width="8.28515625" style="2" customWidth="1"/>
    <col min="10303" max="10303" width="10.42578125" style="2" customWidth="1"/>
    <col min="10304" max="10304" width="8.5703125" style="2" customWidth="1"/>
    <col min="10305" max="10305" width="8.85546875" style="2" customWidth="1"/>
    <col min="10306" max="10306" width="8.7109375" style="2" customWidth="1"/>
    <col min="10307" max="10307" width="7.140625" style="2" bestFit="1" customWidth="1"/>
    <col min="10308" max="10308" width="7.7109375" style="2" bestFit="1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8.85546875" style="2" customWidth="1"/>
    <col min="10313" max="10313" width="9.42578125" style="2" customWidth="1"/>
    <col min="10314" max="10315" width="7.7109375" style="2" bestFit="1" customWidth="1"/>
    <col min="10316" max="10316" width="8.85546875" style="2" customWidth="1"/>
    <col min="10317" max="10317" width="9.42578125" style="2" customWidth="1"/>
    <col min="10318" max="10319" width="7.7109375" style="2" bestFit="1" customWidth="1"/>
    <col min="10320" max="10320" width="9.140625" style="2" customWidth="1"/>
    <col min="10321" max="10321" width="10" style="2" customWidth="1"/>
    <col min="10322" max="10322" width="9.5703125" style="2" customWidth="1"/>
    <col min="10323" max="10323" width="9.28515625" style="2" bestFit="1" customWidth="1"/>
    <col min="10324" max="10324" width="9.28515625" style="2" customWidth="1"/>
    <col min="10325" max="10325" width="9.28515625" style="2" bestFit="1" customWidth="1"/>
    <col min="10326" max="10326" width="10.28515625" style="2" customWidth="1"/>
    <col min="10327" max="10327" width="7.7109375" style="2" bestFit="1" customWidth="1"/>
    <col min="10328" max="10328" width="8" style="2" customWidth="1"/>
    <col min="10329" max="10329" width="8.5703125" style="2" customWidth="1"/>
    <col min="10330" max="10330" width="9.7109375" style="2" customWidth="1"/>
    <col min="10331" max="10331" width="9.42578125" style="2" customWidth="1"/>
    <col min="10332" max="10332" width="9.140625" style="2" customWidth="1"/>
    <col min="10333" max="10333" width="11.42578125" style="2" customWidth="1"/>
    <col min="10334" max="10334" width="12.5703125" style="2" customWidth="1"/>
    <col min="10335" max="10335" width="10.28515625" style="2" customWidth="1"/>
    <col min="10336" max="10336" width="7.7109375" style="2" bestFit="1" customWidth="1"/>
    <col min="10337" max="10337" width="8.28515625" style="2" bestFit="1" customWidth="1"/>
    <col min="10338" max="10339" width="7.7109375" style="2" bestFit="1" customWidth="1"/>
    <col min="10340" max="10340" width="6.5703125" style="2" bestFit="1" customWidth="1"/>
    <col min="10341" max="10341" width="8.28515625" style="2" bestFit="1" customWidth="1"/>
    <col min="10342" max="10342" width="6.5703125" style="2" bestFit="1" customWidth="1"/>
    <col min="10343" max="10343" width="7.140625" style="2" bestFit="1" customWidth="1"/>
    <col min="10344" max="10344" width="7.7109375" style="2" bestFit="1" customWidth="1"/>
    <col min="10345" max="10345" width="8.28515625" style="2" bestFit="1" customWidth="1"/>
    <col min="10346" max="10348" width="7.7109375" style="2" bestFit="1" customWidth="1"/>
    <col min="10349" max="10349" width="8.28515625" style="2" bestFit="1" customWidth="1"/>
    <col min="10350" max="10351" width="7.7109375" style="2" bestFit="1" customWidth="1"/>
    <col min="10352" max="10353" width="9.85546875" style="2" customWidth="1"/>
    <col min="10354" max="10354" width="8.5703125" style="2" customWidth="1"/>
    <col min="10355" max="10356" width="8.85546875" style="2" customWidth="1"/>
    <col min="10357" max="10357" width="9.7109375" style="2" customWidth="1"/>
    <col min="10358" max="10358" width="8.5703125" style="2" customWidth="1"/>
    <col min="10359" max="10359" width="7.7109375" style="2" bestFit="1" customWidth="1"/>
    <col min="10360" max="10360" width="7.5703125" style="2" customWidth="1"/>
    <col min="10361" max="10361" width="8.28515625" style="2" bestFit="1" customWidth="1"/>
    <col min="10362" max="10362" width="8.28515625" style="2" customWidth="1"/>
    <col min="10363" max="10363" width="7.140625" style="2" bestFit="1" customWidth="1"/>
    <col min="10364" max="10364" width="9" style="2" customWidth="1"/>
    <col min="10365" max="10365" width="9.5703125" style="2" customWidth="1"/>
    <col min="10366" max="10366" width="9.7109375" style="2" customWidth="1"/>
    <col min="10367" max="10367" width="10.85546875" style="2" customWidth="1"/>
    <col min="10368" max="10368" width="10.42578125" style="2" customWidth="1"/>
    <col min="10369" max="10370" width="11.28515625" style="2" customWidth="1"/>
    <col min="10371" max="10371" width="11" style="2" customWidth="1"/>
    <col min="10372" max="10372" width="6.7109375" style="2" customWidth="1"/>
    <col min="10373" max="10375" width="9.85546875" style="2"/>
    <col min="10376" max="10376" width="13.140625" style="2" customWidth="1"/>
    <col min="10377" max="10453" width="9.85546875" style="2"/>
    <col min="10454" max="10454" width="27.5703125" style="2" customWidth="1"/>
    <col min="10455" max="10455" width="5.28515625" style="2" customWidth="1"/>
    <col min="10456" max="10457" width="9" style="2" customWidth="1"/>
    <col min="10458" max="10458" width="9.5703125" style="2" customWidth="1"/>
    <col min="10459" max="10459" width="9.7109375" style="2" customWidth="1"/>
    <col min="10460" max="10460" width="7.5703125" style="2" customWidth="1"/>
    <col min="10461" max="10461" width="10.42578125" style="2" customWidth="1"/>
    <col min="10462" max="10462" width="9.140625" style="2" bestFit="1" customWidth="1"/>
    <col min="10463" max="10463" width="7.28515625" style="2" customWidth="1"/>
    <col min="10464" max="10465" width="9.28515625" style="2" customWidth="1"/>
    <col min="10466" max="10466" width="9.5703125" style="2" customWidth="1"/>
    <col min="10467" max="10468" width="9" style="2" customWidth="1"/>
    <col min="10469" max="10469" width="8" style="2" customWidth="1"/>
    <col min="10470" max="10470" width="8.5703125" style="2" customWidth="1"/>
    <col min="10471" max="10471" width="8.28515625" style="2" customWidth="1"/>
    <col min="10472" max="10472" width="9.5703125" style="2" customWidth="1"/>
    <col min="10473" max="10473" width="8.42578125" style="2" customWidth="1"/>
    <col min="10474" max="10474" width="8.140625" style="2" customWidth="1"/>
    <col min="10475" max="10475" width="7.5703125" style="2" customWidth="1"/>
    <col min="10476" max="10476" width="9.140625" style="2" customWidth="1"/>
    <col min="10477" max="10477" width="9" style="2" customWidth="1"/>
    <col min="10478" max="10478" width="8.5703125" style="2" customWidth="1"/>
    <col min="10479" max="10479" width="7.85546875" style="2" customWidth="1"/>
    <col min="10480" max="10480" width="6.7109375" style="2" customWidth="1"/>
    <col min="10481" max="10481" width="5.7109375" style="2" customWidth="1"/>
    <col min="10482" max="10482" width="6.28515625" style="2" customWidth="1"/>
    <col min="10483" max="10483" width="6.5703125" style="2" customWidth="1"/>
    <col min="10484" max="10484" width="8.7109375" style="2" customWidth="1"/>
    <col min="10485" max="10485" width="9" style="2" customWidth="1"/>
    <col min="10486" max="10486" width="8.28515625" style="2" customWidth="1"/>
    <col min="10487" max="10487" width="8.42578125" style="2" customWidth="1"/>
    <col min="10488" max="10488" width="9.85546875" style="2" customWidth="1"/>
    <col min="10489" max="10489" width="10" style="2" customWidth="1"/>
    <col min="10490" max="10490" width="10.140625" style="2" customWidth="1"/>
    <col min="10491" max="10491" width="10.5703125" style="2" customWidth="1"/>
    <col min="10492" max="10492" width="8.140625" style="2" customWidth="1"/>
    <col min="10493" max="10493" width="7.85546875" style="2" customWidth="1"/>
    <col min="10494" max="10494" width="9" style="2" customWidth="1"/>
    <col min="10495" max="10495" width="10" style="2" customWidth="1"/>
    <col min="10496" max="10496" width="10.28515625" style="2" customWidth="1"/>
    <col min="10497" max="10497" width="10.140625" style="2" customWidth="1"/>
    <col min="10498" max="10498" width="10.5703125" style="2" customWidth="1"/>
    <col min="10499" max="10499" width="10.28515625" style="2" customWidth="1"/>
    <col min="10500" max="10500" width="9.7109375" style="2" customWidth="1"/>
    <col min="10501" max="10501" width="9.140625" style="2" bestFit="1" customWidth="1"/>
    <col min="10502" max="10502" width="9.28515625" style="2" customWidth="1"/>
    <col min="10503" max="10503" width="9" style="2" customWidth="1"/>
    <col min="10504" max="10504" width="8" style="2" customWidth="1"/>
    <col min="10505" max="10505" width="8.28515625" style="2" customWidth="1"/>
    <col min="10506" max="10506" width="7.85546875" style="2" customWidth="1"/>
    <col min="10507" max="10507" width="9" style="2" customWidth="1"/>
    <col min="10508" max="10508" width="8.42578125" style="2" customWidth="1"/>
    <col min="10509" max="10509" width="8.28515625" style="2" bestFit="1" customWidth="1"/>
    <col min="10510" max="10511" width="9" style="2" customWidth="1"/>
    <col min="10512" max="10512" width="7.140625" style="2" customWidth="1"/>
    <col min="10513" max="10513" width="9.140625" style="2" customWidth="1"/>
    <col min="10514" max="10514" width="7.7109375" style="2" customWidth="1"/>
    <col min="10515" max="10515" width="7.5703125" style="2" customWidth="1"/>
    <col min="10516" max="10516" width="10" style="2" customWidth="1"/>
    <col min="10517" max="10518" width="10.140625" style="2" bestFit="1" customWidth="1"/>
    <col min="10519" max="10519" width="12.7109375" style="2" bestFit="1" customWidth="1"/>
    <col min="10520" max="10520" width="9.140625" style="2" customWidth="1"/>
    <col min="10521" max="10521" width="9" style="2" customWidth="1"/>
    <col min="10522" max="10522" width="8.85546875" style="2" customWidth="1"/>
    <col min="10523" max="10523" width="10.42578125" style="2" customWidth="1"/>
    <col min="10524" max="10524" width="8.7109375" style="2" customWidth="1"/>
    <col min="10525" max="10525" width="8.140625" style="2" customWidth="1"/>
    <col min="10526" max="10526" width="7.7109375" style="2" customWidth="1"/>
    <col min="10527" max="10527" width="9.7109375" style="2" customWidth="1"/>
    <col min="10528" max="10528" width="6.5703125" style="2" bestFit="1" customWidth="1"/>
    <col min="10529" max="10530" width="7.5703125" style="2" customWidth="1"/>
    <col min="10531" max="10531" width="7.7109375" style="2" customWidth="1"/>
    <col min="10532" max="10533" width="9.28515625" style="2" bestFit="1" customWidth="1"/>
    <col min="10534" max="10534" width="9.5703125" style="2" customWidth="1"/>
    <col min="10535" max="10535" width="9.140625" style="2" customWidth="1"/>
    <col min="10536" max="10537" width="7.85546875" style="2" customWidth="1"/>
    <col min="10538" max="10538" width="9.42578125" style="2" customWidth="1"/>
    <col min="10539" max="10539" width="10" style="2" customWidth="1"/>
    <col min="10540" max="10540" width="6.42578125" style="2" customWidth="1"/>
    <col min="10541" max="10541" width="9" style="2" customWidth="1"/>
    <col min="10542" max="10542" width="8.85546875" style="2" customWidth="1"/>
    <col min="10543" max="10543" width="7.7109375" style="2" customWidth="1"/>
    <col min="10544" max="10544" width="9.7109375" style="2" customWidth="1"/>
    <col min="10545" max="10545" width="9.42578125" style="2" customWidth="1"/>
    <col min="10546" max="10546" width="9.85546875" style="2" customWidth="1"/>
    <col min="10547" max="10547" width="7.7109375" style="2" customWidth="1"/>
    <col min="10548" max="10548" width="8.5703125" style="2" customWidth="1"/>
    <col min="10549" max="10549" width="9.140625" style="2" customWidth="1"/>
    <col min="10550" max="10550" width="10.140625" style="2" customWidth="1"/>
    <col min="10551" max="10551" width="10.42578125" style="2" customWidth="1"/>
    <col min="10552" max="10553" width="7.85546875" style="2" customWidth="1"/>
    <col min="10554" max="10554" width="8.28515625" style="2" customWidth="1"/>
    <col min="10555" max="10555" width="10.42578125" style="2" customWidth="1"/>
    <col min="10556" max="10557" width="7.85546875" style="2" customWidth="1"/>
    <col min="10558" max="10558" width="8.28515625" style="2" customWidth="1"/>
    <col min="10559" max="10559" width="10.42578125" style="2" customWidth="1"/>
    <col min="10560" max="10560" width="8.5703125" style="2" customWidth="1"/>
    <col min="10561" max="10561" width="8.85546875" style="2" customWidth="1"/>
    <col min="10562" max="10562" width="8.7109375" style="2" customWidth="1"/>
    <col min="10563" max="10563" width="7.140625" style="2" bestFit="1" customWidth="1"/>
    <col min="10564" max="10564" width="7.7109375" style="2" bestFit="1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8.85546875" style="2" customWidth="1"/>
    <col min="10569" max="10569" width="9.42578125" style="2" customWidth="1"/>
    <col min="10570" max="10571" width="7.7109375" style="2" bestFit="1" customWidth="1"/>
    <col min="10572" max="10572" width="8.85546875" style="2" customWidth="1"/>
    <col min="10573" max="10573" width="9.42578125" style="2" customWidth="1"/>
    <col min="10574" max="10575" width="7.7109375" style="2" bestFit="1" customWidth="1"/>
    <col min="10576" max="10576" width="9.140625" style="2" customWidth="1"/>
    <col min="10577" max="10577" width="10" style="2" customWidth="1"/>
    <col min="10578" max="10578" width="9.5703125" style="2" customWidth="1"/>
    <col min="10579" max="10579" width="9.28515625" style="2" bestFit="1" customWidth="1"/>
    <col min="10580" max="10580" width="9.28515625" style="2" customWidth="1"/>
    <col min="10581" max="10581" width="9.28515625" style="2" bestFit="1" customWidth="1"/>
    <col min="10582" max="10582" width="10.28515625" style="2" customWidth="1"/>
    <col min="10583" max="10583" width="7.7109375" style="2" bestFit="1" customWidth="1"/>
    <col min="10584" max="10584" width="8" style="2" customWidth="1"/>
    <col min="10585" max="10585" width="8.5703125" style="2" customWidth="1"/>
    <col min="10586" max="10586" width="9.7109375" style="2" customWidth="1"/>
    <col min="10587" max="10587" width="9.42578125" style="2" customWidth="1"/>
    <col min="10588" max="10588" width="9.140625" style="2" customWidth="1"/>
    <col min="10589" max="10589" width="11.42578125" style="2" customWidth="1"/>
    <col min="10590" max="10590" width="12.5703125" style="2" customWidth="1"/>
    <col min="10591" max="10591" width="10.28515625" style="2" customWidth="1"/>
    <col min="10592" max="10592" width="7.7109375" style="2" bestFit="1" customWidth="1"/>
    <col min="10593" max="10593" width="8.28515625" style="2" bestFit="1" customWidth="1"/>
    <col min="10594" max="10595" width="7.7109375" style="2" bestFit="1" customWidth="1"/>
    <col min="10596" max="10596" width="6.5703125" style="2" bestFit="1" customWidth="1"/>
    <col min="10597" max="10597" width="8.28515625" style="2" bestFit="1" customWidth="1"/>
    <col min="10598" max="10598" width="6.5703125" style="2" bestFit="1" customWidth="1"/>
    <col min="10599" max="10599" width="7.140625" style="2" bestFit="1" customWidth="1"/>
    <col min="10600" max="10600" width="7.7109375" style="2" bestFit="1" customWidth="1"/>
    <col min="10601" max="10601" width="8.28515625" style="2" bestFit="1" customWidth="1"/>
    <col min="10602" max="10604" width="7.7109375" style="2" bestFit="1" customWidth="1"/>
    <col min="10605" max="10605" width="8.28515625" style="2" bestFit="1" customWidth="1"/>
    <col min="10606" max="10607" width="7.7109375" style="2" bestFit="1" customWidth="1"/>
    <col min="10608" max="10609" width="9.85546875" style="2" customWidth="1"/>
    <col min="10610" max="10610" width="8.5703125" style="2" customWidth="1"/>
    <col min="10611" max="10612" width="8.85546875" style="2" customWidth="1"/>
    <col min="10613" max="10613" width="9.7109375" style="2" customWidth="1"/>
    <col min="10614" max="10614" width="8.5703125" style="2" customWidth="1"/>
    <col min="10615" max="10615" width="7.7109375" style="2" bestFit="1" customWidth="1"/>
    <col min="10616" max="10616" width="7.5703125" style="2" customWidth="1"/>
    <col min="10617" max="10617" width="8.28515625" style="2" bestFit="1" customWidth="1"/>
    <col min="10618" max="10618" width="8.28515625" style="2" customWidth="1"/>
    <col min="10619" max="10619" width="7.140625" style="2" bestFit="1" customWidth="1"/>
    <col min="10620" max="10620" width="9" style="2" customWidth="1"/>
    <col min="10621" max="10621" width="9.5703125" style="2" customWidth="1"/>
    <col min="10622" max="10622" width="9.7109375" style="2" customWidth="1"/>
    <col min="10623" max="10623" width="10.85546875" style="2" customWidth="1"/>
    <col min="10624" max="10624" width="10.42578125" style="2" customWidth="1"/>
    <col min="10625" max="10626" width="11.28515625" style="2" customWidth="1"/>
    <col min="10627" max="10627" width="11" style="2" customWidth="1"/>
    <col min="10628" max="10628" width="6.7109375" style="2" customWidth="1"/>
    <col min="10629" max="10631" width="9.85546875" style="2"/>
    <col min="10632" max="10632" width="13.140625" style="2" customWidth="1"/>
    <col min="10633" max="10709" width="9.85546875" style="2"/>
    <col min="10710" max="10710" width="27.5703125" style="2" customWidth="1"/>
    <col min="10711" max="10711" width="5.28515625" style="2" customWidth="1"/>
    <col min="10712" max="10713" width="9" style="2" customWidth="1"/>
    <col min="10714" max="10714" width="9.5703125" style="2" customWidth="1"/>
    <col min="10715" max="10715" width="9.7109375" style="2" customWidth="1"/>
    <col min="10716" max="10716" width="7.5703125" style="2" customWidth="1"/>
    <col min="10717" max="10717" width="10.42578125" style="2" customWidth="1"/>
    <col min="10718" max="10718" width="9.140625" style="2" bestFit="1" customWidth="1"/>
    <col min="10719" max="10719" width="7.28515625" style="2" customWidth="1"/>
    <col min="10720" max="10721" width="9.28515625" style="2" customWidth="1"/>
    <col min="10722" max="10722" width="9.5703125" style="2" customWidth="1"/>
    <col min="10723" max="10724" width="9" style="2" customWidth="1"/>
    <col min="10725" max="10725" width="8" style="2" customWidth="1"/>
    <col min="10726" max="10726" width="8.5703125" style="2" customWidth="1"/>
    <col min="10727" max="10727" width="8.28515625" style="2" customWidth="1"/>
    <col min="10728" max="10728" width="9.5703125" style="2" customWidth="1"/>
    <col min="10729" max="10729" width="8.42578125" style="2" customWidth="1"/>
    <col min="10730" max="10730" width="8.140625" style="2" customWidth="1"/>
    <col min="10731" max="10731" width="7.5703125" style="2" customWidth="1"/>
    <col min="10732" max="10732" width="9.140625" style="2" customWidth="1"/>
    <col min="10733" max="10733" width="9" style="2" customWidth="1"/>
    <col min="10734" max="10734" width="8.5703125" style="2" customWidth="1"/>
    <col min="10735" max="10735" width="7.85546875" style="2" customWidth="1"/>
    <col min="10736" max="10736" width="6.7109375" style="2" customWidth="1"/>
    <col min="10737" max="10737" width="5.7109375" style="2" customWidth="1"/>
    <col min="10738" max="10738" width="6.28515625" style="2" customWidth="1"/>
    <col min="10739" max="10739" width="6.5703125" style="2" customWidth="1"/>
    <col min="10740" max="10740" width="8.7109375" style="2" customWidth="1"/>
    <col min="10741" max="10741" width="9" style="2" customWidth="1"/>
    <col min="10742" max="10742" width="8.28515625" style="2" customWidth="1"/>
    <col min="10743" max="10743" width="8.42578125" style="2" customWidth="1"/>
    <col min="10744" max="10744" width="9.85546875" style="2" customWidth="1"/>
    <col min="10745" max="10745" width="10" style="2" customWidth="1"/>
    <col min="10746" max="10746" width="10.140625" style="2" customWidth="1"/>
    <col min="10747" max="10747" width="10.5703125" style="2" customWidth="1"/>
    <col min="10748" max="10748" width="8.140625" style="2" customWidth="1"/>
    <col min="10749" max="10749" width="7.85546875" style="2" customWidth="1"/>
    <col min="10750" max="10750" width="9" style="2" customWidth="1"/>
    <col min="10751" max="10751" width="10" style="2" customWidth="1"/>
    <col min="10752" max="10752" width="10.28515625" style="2" customWidth="1"/>
    <col min="10753" max="10753" width="10.140625" style="2" customWidth="1"/>
    <col min="10754" max="10754" width="10.5703125" style="2" customWidth="1"/>
    <col min="10755" max="10755" width="10.28515625" style="2" customWidth="1"/>
    <col min="10756" max="10756" width="9.7109375" style="2" customWidth="1"/>
    <col min="10757" max="10757" width="9.140625" style="2" bestFit="1" customWidth="1"/>
    <col min="10758" max="10758" width="9.28515625" style="2" customWidth="1"/>
    <col min="10759" max="10759" width="9" style="2" customWidth="1"/>
    <col min="10760" max="10760" width="8" style="2" customWidth="1"/>
    <col min="10761" max="10761" width="8.28515625" style="2" customWidth="1"/>
    <col min="10762" max="10762" width="7.85546875" style="2" customWidth="1"/>
    <col min="10763" max="10763" width="9" style="2" customWidth="1"/>
    <col min="10764" max="10764" width="8.42578125" style="2" customWidth="1"/>
    <col min="10765" max="10765" width="8.28515625" style="2" bestFit="1" customWidth="1"/>
    <col min="10766" max="10767" width="9" style="2" customWidth="1"/>
    <col min="10768" max="10768" width="7.140625" style="2" customWidth="1"/>
    <col min="10769" max="10769" width="9.140625" style="2" customWidth="1"/>
    <col min="10770" max="10770" width="7.7109375" style="2" customWidth="1"/>
    <col min="10771" max="10771" width="7.5703125" style="2" customWidth="1"/>
    <col min="10772" max="10772" width="10" style="2" customWidth="1"/>
    <col min="10773" max="10774" width="10.140625" style="2" bestFit="1" customWidth="1"/>
    <col min="10775" max="10775" width="12.7109375" style="2" bestFit="1" customWidth="1"/>
    <col min="10776" max="10776" width="9.140625" style="2" customWidth="1"/>
    <col min="10777" max="10777" width="9" style="2" customWidth="1"/>
    <col min="10778" max="10778" width="8.85546875" style="2" customWidth="1"/>
    <col min="10779" max="10779" width="10.42578125" style="2" customWidth="1"/>
    <col min="10780" max="10780" width="8.7109375" style="2" customWidth="1"/>
    <col min="10781" max="10781" width="8.140625" style="2" customWidth="1"/>
    <col min="10782" max="10782" width="7.7109375" style="2" customWidth="1"/>
    <col min="10783" max="10783" width="9.7109375" style="2" customWidth="1"/>
    <col min="10784" max="10784" width="6.5703125" style="2" bestFit="1" customWidth="1"/>
    <col min="10785" max="10786" width="7.5703125" style="2" customWidth="1"/>
    <col min="10787" max="10787" width="7.7109375" style="2" customWidth="1"/>
    <col min="10788" max="10789" width="9.28515625" style="2" bestFit="1" customWidth="1"/>
    <col min="10790" max="10790" width="9.5703125" style="2" customWidth="1"/>
    <col min="10791" max="10791" width="9.140625" style="2" customWidth="1"/>
    <col min="10792" max="10793" width="7.85546875" style="2" customWidth="1"/>
    <col min="10794" max="10794" width="9.42578125" style="2" customWidth="1"/>
    <col min="10795" max="10795" width="10" style="2" customWidth="1"/>
    <col min="10796" max="10796" width="6.42578125" style="2" customWidth="1"/>
    <col min="10797" max="10797" width="9" style="2" customWidth="1"/>
    <col min="10798" max="10798" width="8.85546875" style="2" customWidth="1"/>
    <col min="10799" max="10799" width="7.7109375" style="2" customWidth="1"/>
    <col min="10800" max="10800" width="9.7109375" style="2" customWidth="1"/>
    <col min="10801" max="10801" width="9.42578125" style="2" customWidth="1"/>
    <col min="10802" max="10802" width="9.85546875" style="2" customWidth="1"/>
    <col min="10803" max="10803" width="7.7109375" style="2" customWidth="1"/>
    <col min="10804" max="10804" width="8.5703125" style="2" customWidth="1"/>
    <col min="10805" max="10805" width="9.140625" style="2" customWidth="1"/>
    <col min="10806" max="10806" width="10.140625" style="2" customWidth="1"/>
    <col min="10807" max="10807" width="10.42578125" style="2" customWidth="1"/>
    <col min="10808" max="10809" width="7.85546875" style="2" customWidth="1"/>
    <col min="10810" max="10810" width="8.28515625" style="2" customWidth="1"/>
    <col min="10811" max="10811" width="10.42578125" style="2" customWidth="1"/>
    <col min="10812" max="10813" width="7.85546875" style="2" customWidth="1"/>
    <col min="10814" max="10814" width="8.28515625" style="2" customWidth="1"/>
    <col min="10815" max="10815" width="10.42578125" style="2" customWidth="1"/>
    <col min="10816" max="10816" width="8.5703125" style="2" customWidth="1"/>
    <col min="10817" max="10817" width="8.85546875" style="2" customWidth="1"/>
    <col min="10818" max="10818" width="8.7109375" style="2" customWidth="1"/>
    <col min="10819" max="10819" width="7.140625" style="2" bestFit="1" customWidth="1"/>
    <col min="10820" max="10820" width="7.7109375" style="2" bestFit="1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8.85546875" style="2" customWidth="1"/>
    <col min="10825" max="10825" width="9.42578125" style="2" customWidth="1"/>
    <col min="10826" max="10827" width="7.7109375" style="2" bestFit="1" customWidth="1"/>
    <col min="10828" max="10828" width="8.85546875" style="2" customWidth="1"/>
    <col min="10829" max="10829" width="9.42578125" style="2" customWidth="1"/>
    <col min="10830" max="10831" width="7.7109375" style="2" bestFit="1" customWidth="1"/>
    <col min="10832" max="10832" width="9.140625" style="2" customWidth="1"/>
    <col min="10833" max="10833" width="10" style="2" customWidth="1"/>
    <col min="10834" max="10834" width="9.5703125" style="2" customWidth="1"/>
    <col min="10835" max="10835" width="9.28515625" style="2" bestFit="1" customWidth="1"/>
    <col min="10836" max="10836" width="9.28515625" style="2" customWidth="1"/>
    <col min="10837" max="10837" width="9.28515625" style="2" bestFit="1" customWidth="1"/>
    <col min="10838" max="10838" width="10.28515625" style="2" customWidth="1"/>
    <col min="10839" max="10839" width="7.7109375" style="2" bestFit="1" customWidth="1"/>
    <col min="10840" max="10840" width="8" style="2" customWidth="1"/>
    <col min="10841" max="10841" width="8.5703125" style="2" customWidth="1"/>
    <col min="10842" max="10842" width="9.7109375" style="2" customWidth="1"/>
    <col min="10843" max="10843" width="9.42578125" style="2" customWidth="1"/>
    <col min="10844" max="10844" width="9.140625" style="2" customWidth="1"/>
    <col min="10845" max="10845" width="11.42578125" style="2" customWidth="1"/>
    <col min="10846" max="10846" width="12.5703125" style="2" customWidth="1"/>
    <col min="10847" max="10847" width="10.28515625" style="2" customWidth="1"/>
    <col min="10848" max="10848" width="7.7109375" style="2" bestFit="1" customWidth="1"/>
    <col min="10849" max="10849" width="8.28515625" style="2" bestFit="1" customWidth="1"/>
    <col min="10850" max="10851" width="7.7109375" style="2" bestFit="1" customWidth="1"/>
    <col min="10852" max="10852" width="6.5703125" style="2" bestFit="1" customWidth="1"/>
    <col min="10853" max="10853" width="8.28515625" style="2" bestFit="1" customWidth="1"/>
    <col min="10854" max="10854" width="6.5703125" style="2" bestFit="1" customWidth="1"/>
    <col min="10855" max="10855" width="7.140625" style="2" bestFit="1" customWidth="1"/>
    <col min="10856" max="10856" width="7.7109375" style="2" bestFit="1" customWidth="1"/>
    <col min="10857" max="10857" width="8.28515625" style="2" bestFit="1" customWidth="1"/>
    <col min="10858" max="10860" width="7.7109375" style="2" bestFit="1" customWidth="1"/>
    <col min="10861" max="10861" width="8.28515625" style="2" bestFit="1" customWidth="1"/>
    <col min="10862" max="10863" width="7.7109375" style="2" bestFit="1" customWidth="1"/>
    <col min="10864" max="10865" width="9.85546875" style="2" customWidth="1"/>
    <col min="10866" max="10866" width="8.5703125" style="2" customWidth="1"/>
    <col min="10867" max="10868" width="8.85546875" style="2" customWidth="1"/>
    <col min="10869" max="10869" width="9.7109375" style="2" customWidth="1"/>
    <col min="10870" max="10870" width="8.5703125" style="2" customWidth="1"/>
    <col min="10871" max="10871" width="7.7109375" style="2" bestFit="1" customWidth="1"/>
    <col min="10872" max="10872" width="7.5703125" style="2" customWidth="1"/>
    <col min="10873" max="10873" width="8.28515625" style="2" bestFit="1" customWidth="1"/>
    <col min="10874" max="10874" width="8.28515625" style="2" customWidth="1"/>
    <col min="10875" max="10875" width="7.140625" style="2" bestFit="1" customWidth="1"/>
    <col min="10876" max="10876" width="9" style="2" customWidth="1"/>
    <col min="10877" max="10877" width="9.5703125" style="2" customWidth="1"/>
    <col min="10878" max="10878" width="9.7109375" style="2" customWidth="1"/>
    <col min="10879" max="10879" width="10.85546875" style="2" customWidth="1"/>
    <col min="10880" max="10880" width="10.42578125" style="2" customWidth="1"/>
    <col min="10881" max="10882" width="11.28515625" style="2" customWidth="1"/>
    <col min="10883" max="10883" width="11" style="2" customWidth="1"/>
    <col min="10884" max="10884" width="6.7109375" style="2" customWidth="1"/>
    <col min="10885" max="10887" width="9.85546875" style="2"/>
    <col min="10888" max="10888" width="13.140625" style="2" customWidth="1"/>
    <col min="10889" max="10965" width="9.85546875" style="2"/>
    <col min="10966" max="10966" width="27.5703125" style="2" customWidth="1"/>
    <col min="10967" max="10967" width="5.28515625" style="2" customWidth="1"/>
    <col min="10968" max="10969" width="9" style="2" customWidth="1"/>
    <col min="10970" max="10970" width="9.5703125" style="2" customWidth="1"/>
    <col min="10971" max="10971" width="9.7109375" style="2" customWidth="1"/>
    <col min="10972" max="10972" width="7.5703125" style="2" customWidth="1"/>
    <col min="10973" max="10973" width="10.42578125" style="2" customWidth="1"/>
    <col min="10974" max="10974" width="9.140625" style="2" bestFit="1" customWidth="1"/>
    <col min="10975" max="10975" width="7.28515625" style="2" customWidth="1"/>
    <col min="10976" max="10977" width="9.28515625" style="2" customWidth="1"/>
    <col min="10978" max="10978" width="9.5703125" style="2" customWidth="1"/>
    <col min="10979" max="10980" width="9" style="2" customWidth="1"/>
    <col min="10981" max="10981" width="8" style="2" customWidth="1"/>
    <col min="10982" max="10982" width="8.5703125" style="2" customWidth="1"/>
    <col min="10983" max="10983" width="8.28515625" style="2" customWidth="1"/>
    <col min="10984" max="10984" width="9.5703125" style="2" customWidth="1"/>
    <col min="10985" max="10985" width="8.42578125" style="2" customWidth="1"/>
    <col min="10986" max="10986" width="8.140625" style="2" customWidth="1"/>
    <col min="10987" max="10987" width="7.5703125" style="2" customWidth="1"/>
    <col min="10988" max="10988" width="9.140625" style="2" customWidth="1"/>
    <col min="10989" max="10989" width="9" style="2" customWidth="1"/>
    <col min="10990" max="10990" width="8.5703125" style="2" customWidth="1"/>
    <col min="10991" max="10991" width="7.85546875" style="2" customWidth="1"/>
    <col min="10992" max="10992" width="6.7109375" style="2" customWidth="1"/>
    <col min="10993" max="10993" width="5.7109375" style="2" customWidth="1"/>
    <col min="10994" max="10994" width="6.28515625" style="2" customWidth="1"/>
    <col min="10995" max="10995" width="6.5703125" style="2" customWidth="1"/>
    <col min="10996" max="10996" width="8.7109375" style="2" customWidth="1"/>
    <col min="10997" max="10997" width="9" style="2" customWidth="1"/>
    <col min="10998" max="10998" width="8.28515625" style="2" customWidth="1"/>
    <col min="10999" max="10999" width="8.42578125" style="2" customWidth="1"/>
    <col min="11000" max="11000" width="9.85546875" style="2" customWidth="1"/>
    <col min="11001" max="11001" width="10" style="2" customWidth="1"/>
    <col min="11002" max="11002" width="10.140625" style="2" customWidth="1"/>
    <col min="11003" max="11003" width="10.5703125" style="2" customWidth="1"/>
    <col min="11004" max="11004" width="8.140625" style="2" customWidth="1"/>
    <col min="11005" max="11005" width="7.85546875" style="2" customWidth="1"/>
    <col min="11006" max="11006" width="9" style="2" customWidth="1"/>
    <col min="11007" max="11007" width="10" style="2" customWidth="1"/>
    <col min="11008" max="11008" width="10.28515625" style="2" customWidth="1"/>
    <col min="11009" max="11009" width="10.140625" style="2" customWidth="1"/>
    <col min="11010" max="11010" width="10.5703125" style="2" customWidth="1"/>
    <col min="11011" max="11011" width="10.28515625" style="2" customWidth="1"/>
    <col min="11012" max="11012" width="9.7109375" style="2" customWidth="1"/>
    <col min="11013" max="11013" width="9.140625" style="2" bestFit="1" customWidth="1"/>
    <col min="11014" max="11014" width="9.28515625" style="2" customWidth="1"/>
    <col min="11015" max="11015" width="9" style="2" customWidth="1"/>
    <col min="11016" max="11016" width="8" style="2" customWidth="1"/>
    <col min="11017" max="11017" width="8.28515625" style="2" customWidth="1"/>
    <col min="11018" max="11018" width="7.85546875" style="2" customWidth="1"/>
    <col min="11019" max="11019" width="9" style="2" customWidth="1"/>
    <col min="11020" max="11020" width="8.42578125" style="2" customWidth="1"/>
    <col min="11021" max="11021" width="8.28515625" style="2" bestFit="1" customWidth="1"/>
    <col min="11022" max="11023" width="9" style="2" customWidth="1"/>
    <col min="11024" max="11024" width="7.140625" style="2" customWidth="1"/>
    <col min="11025" max="11025" width="9.140625" style="2" customWidth="1"/>
    <col min="11026" max="11026" width="7.7109375" style="2" customWidth="1"/>
    <col min="11027" max="11027" width="7.5703125" style="2" customWidth="1"/>
    <col min="11028" max="11028" width="10" style="2" customWidth="1"/>
    <col min="11029" max="11030" width="10.140625" style="2" bestFit="1" customWidth="1"/>
    <col min="11031" max="11031" width="12.7109375" style="2" bestFit="1" customWidth="1"/>
    <col min="11032" max="11032" width="9.140625" style="2" customWidth="1"/>
    <col min="11033" max="11033" width="9" style="2" customWidth="1"/>
    <col min="11034" max="11034" width="8.85546875" style="2" customWidth="1"/>
    <col min="11035" max="11035" width="10.42578125" style="2" customWidth="1"/>
    <col min="11036" max="11036" width="8.7109375" style="2" customWidth="1"/>
    <col min="11037" max="11037" width="8.140625" style="2" customWidth="1"/>
    <col min="11038" max="11038" width="7.7109375" style="2" customWidth="1"/>
    <col min="11039" max="11039" width="9.7109375" style="2" customWidth="1"/>
    <col min="11040" max="11040" width="6.5703125" style="2" bestFit="1" customWidth="1"/>
    <col min="11041" max="11042" width="7.5703125" style="2" customWidth="1"/>
    <col min="11043" max="11043" width="7.7109375" style="2" customWidth="1"/>
    <col min="11044" max="11045" width="9.28515625" style="2" bestFit="1" customWidth="1"/>
    <col min="11046" max="11046" width="9.5703125" style="2" customWidth="1"/>
    <col min="11047" max="11047" width="9.140625" style="2" customWidth="1"/>
    <col min="11048" max="11049" width="7.85546875" style="2" customWidth="1"/>
    <col min="11050" max="11050" width="9.42578125" style="2" customWidth="1"/>
    <col min="11051" max="11051" width="10" style="2" customWidth="1"/>
    <col min="11052" max="11052" width="6.42578125" style="2" customWidth="1"/>
    <col min="11053" max="11053" width="9" style="2" customWidth="1"/>
    <col min="11054" max="11054" width="8.85546875" style="2" customWidth="1"/>
    <col min="11055" max="11055" width="7.7109375" style="2" customWidth="1"/>
    <col min="11056" max="11056" width="9.7109375" style="2" customWidth="1"/>
    <col min="11057" max="11057" width="9.42578125" style="2" customWidth="1"/>
    <col min="11058" max="11058" width="9.85546875" style="2" customWidth="1"/>
    <col min="11059" max="11059" width="7.7109375" style="2" customWidth="1"/>
    <col min="11060" max="11060" width="8.5703125" style="2" customWidth="1"/>
    <col min="11061" max="11061" width="9.140625" style="2" customWidth="1"/>
    <col min="11062" max="11062" width="10.140625" style="2" customWidth="1"/>
    <col min="11063" max="11063" width="10.42578125" style="2" customWidth="1"/>
    <col min="11064" max="11065" width="7.85546875" style="2" customWidth="1"/>
    <col min="11066" max="11066" width="8.28515625" style="2" customWidth="1"/>
    <col min="11067" max="11067" width="10.42578125" style="2" customWidth="1"/>
    <col min="11068" max="11069" width="7.85546875" style="2" customWidth="1"/>
    <col min="11070" max="11070" width="8.28515625" style="2" customWidth="1"/>
    <col min="11071" max="11071" width="10.42578125" style="2" customWidth="1"/>
    <col min="11072" max="11072" width="8.5703125" style="2" customWidth="1"/>
    <col min="11073" max="11073" width="8.85546875" style="2" customWidth="1"/>
    <col min="11074" max="11074" width="8.7109375" style="2" customWidth="1"/>
    <col min="11075" max="11075" width="7.140625" style="2" bestFit="1" customWidth="1"/>
    <col min="11076" max="11076" width="7.7109375" style="2" bestFit="1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8.85546875" style="2" customWidth="1"/>
    <col min="11081" max="11081" width="9.42578125" style="2" customWidth="1"/>
    <col min="11082" max="11083" width="7.7109375" style="2" bestFit="1" customWidth="1"/>
    <col min="11084" max="11084" width="8.85546875" style="2" customWidth="1"/>
    <col min="11085" max="11085" width="9.42578125" style="2" customWidth="1"/>
    <col min="11086" max="11087" width="7.7109375" style="2" bestFit="1" customWidth="1"/>
    <col min="11088" max="11088" width="9.140625" style="2" customWidth="1"/>
    <col min="11089" max="11089" width="10" style="2" customWidth="1"/>
    <col min="11090" max="11090" width="9.5703125" style="2" customWidth="1"/>
    <col min="11091" max="11091" width="9.28515625" style="2" bestFit="1" customWidth="1"/>
    <col min="11092" max="11092" width="9.28515625" style="2" customWidth="1"/>
    <col min="11093" max="11093" width="9.28515625" style="2" bestFit="1" customWidth="1"/>
    <col min="11094" max="11094" width="10.28515625" style="2" customWidth="1"/>
    <col min="11095" max="11095" width="7.7109375" style="2" bestFit="1" customWidth="1"/>
    <col min="11096" max="11096" width="8" style="2" customWidth="1"/>
    <col min="11097" max="11097" width="8.5703125" style="2" customWidth="1"/>
    <col min="11098" max="11098" width="9.7109375" style="2" customWidth="1"/>
    <col min="11099" max="11099" width="9.42578125" style="2" customWidth="1"/>
    <col min="11100" max="11100" width="9.140625" style="2" customWidth="1"/>
    <col min="11101" max="11101" width="11.42578125" style="2" customWidth="1"/>
    <col min="11102" max="11102" width="12.5703125" style="2" customWidth="1"/>
    <col min="11103" max="11103" width="10.28515625" style="2" customWidth="1"/>
    <col min="11104" max="11104" width="7.7109375" style="2" bestFit="1" customWidth="1"/>
    <col min="11105" max="11105" width="8.28515625" style="2" bestFit="1" customWidth="1"/>
    <col min="11106" max="11107" width="7.7109375" style="2" bestFit="1" customWidth="1"/>
    <col min="11108" max="11108" width="6.5703125" style="2" bestFit="1" customWidth="1"/>
    <col min="11109" max="11109" width="8.28515625" style="2" bestFit="1" customWidth="1"/>
    <col min="11110" max="11110" width="6.5703125" style="2" bestFit="1" customWidth="1"/>
    <col min="11111" max="11111" width="7.140625" style="2" bestFit="1" customWidth="1"/>
    <col min="11112" max="11112" width="7.7109375" style="2" bestFit="1" customWidth="1"/>
    <col min="11113" max="11113" width="8.28515625" style="2" bestFit="1" customWidth="1"/>
    <col min="11114" max="11116" width="7.7109375" style="2" bestFit="1" customWidth="1"/>
    <col min="11117" max="11117" width="8.28515625" style="2" bestFit="1" customWidth="1"/>
    <col min="11118" max="11119" width="7.7109375" style="2" bestFit="1" customWidth="1"/>
    <col min="11120" max="11121" width="9.85546875" style="2" customWidth="1"/>
    <col min="11122" max="11122" width="8.5703125" style="2" customWidth="1"/>
    <col min="11123" max="11124" width="8.85546875" style="2" customWidth="1"/>
    <col min="11125" max="11125" width="9.7109375" style="2" customWidth="1"/>
    <col min="11126" max="11126" width="8.5703125" style="2" customWidth="1"/>
    <col min="11127" max="11127" width="7.7109375" style="2" bestFit="1" customWidth="1"/>
    <col min="11128" max="11128" width="7.5703125" style="2" customWidth="1"/>
    <col min="11129" max="11129" width="8.28515625" style="2" bestFit="1" customWidth="1"/>
    <col min="11130" max="11130" width="8.28515625" style="2" customWidth="1"/>
    <col min="11131" max="11131" width="7.140625" style="2" bestFit="1" customWidth="1"/>
    <col min="11132" max="11132" width="9" style="2" customWidth="1"/>
    <col min="11133" max="11133" width="9.5703125" style="2" customWidth="1"/>
    <col min="11134" max="11134" width="9.7109375" style="2" customWidth="1"/>
    <col min="11135" max="11135" width="10.85546875" style="2" customWidth="1"/>
    <col min="11136" max="11136" width="10.42578125" style="2" customWidth="1"/>
    <col min="11137" max="11138" width="11.28515625" style="2" customWidth="1"/>
    <col min="11139" max="11139" width="11" style="2" customWidth="1"/>
    <col min="11140" max="11140" width="6.7109375" style="2" customWidth="1"/>
    <col min="11141" max="11143" width="9.85546875" style="2"/>
    <col min="11144" max="11144" width="13.140625" style="2" customWidth="1"/>
    <col min="11145" max="11221" width="9.85546875" style="2"/>
    <col min="11222" max="11222" width="27.5703125" style="2" customWidth="1"/>
    <col min="11223" max="11223" width="5.28515625" style="2" customWidth="1"/>
    <col min="11224" max="11225" width="9" style="2" customWidth="1"/>
    <col min="11226" max="11226" width="9.5703125" style="2" customWidth="1"/>
    <col min="11227" max="11227" width="9.7109375" style="2" customWidth="1"/>
    <col min="11228" max="11228" width="7.5703125" style="2" customWidth="1"/>
    <col min="11229" max="11229" width="10.42578125" style="2" customWidth="1"/>
    <col min="11230" max="11230" width="9.140625" style="2" bestFit="1" customWidth="1"/>
    <col min="11231" max="11231" width="7.28515625" style="2" customWidth="1"/>
    <col min="11232" max="11233" width="9.28515625" style="2" customWidth="1"/>
    <col min="11234" max="11234" width="9.5703125" style="2" customWidth="1"/>
    <col min="11235" max="11236" width="9" style="2" customWidth="1"/>
    <col min="11237" max="11237" width="8" style="2" customWidth="1"/>
    <col min="11238" max="11238" width="8.5703125" style="2" customWidth="1"/>
    <col min="11239" max="11239" width="8.28515625" style="2" customWidth="1"/>
    <col min="11240" max="11240" width="9.5703125" style="2" customWidth="1"/>
    <col min="11241" max="11241" width="8.42578125" style="2" customWidth="1"/>
    <col min="11242" max="11242" width="8.140625" style="2" customWidth="1"/>
    <col min="11243" max="11243" width="7.5703125" style="2" customWidth="1"/>
    <col min="11244" max="11244" width="9.140625" style="2" customWidth="1"/>
    <col min="11245" max="11245" width="9" style="2" customWidth="1"/>
    <col min="11246" max="11246" width="8.5703125" style="2" customWidth="1"/>
    <col min="11247" max="11247" width="7.85546875" style="2" customWidth="1"/>
    <col min="11248" max="11248" width="6.7109375" style="2" customWidth="1"/>
    <col min="11249" max="11249" width="5.7109375" style="2" customWidth="1"/>
    <col min="11250" max="11250" width="6.28515625" style="2" customWidth="1"/>
    <col min="11251" max="11251" width="6.5703125" style="2" customWidth="1"/>
    <col min="11252" max="11252" width="8.7109375" style="2" customWidth="1"/>
    <col min="11253" max="11253" width="9" style="2" customWidth="1"/>
    <col min="11254" max="11254" width="8.28515625" style="2" customWidth="1"/>
    <col min="11255" max="11255" width="8.42578125" style="2" customWidth="1"/>
    <col min="11256" max="11256" width="9.85546875" style="2" customWidth="1"/>
    <col min="11257" max="11257" width="10" style="2" customWidth="1"/>
    <col min="11258" max="11258" width="10.140625" style="2" customWidth="1"/>
    <col min="11259" max="11259" width="10.5703125" style="2" customWidth="1"/>
    <col min="11260" max="11260" width="8.140625" style="2" customWidth="1"/>
    <col min="11261" max="11261" width="7.85546875" style="2" customWidth="1"/>
    <col min="11262" max="11262" width="9" style="2" customWidth="1"/>
    <col min="11263" max="11263" width="10" style="2" customWidth="1"/>
    <col min="11264" max="11264" width="10.28515625" style="2" customWidth="1"/>
    <col min="11265" max="11265" width="10.140625" style="2" customWidth="1"/>
    <col min="11266" max="11266" width="10.5703125" style="2" customWidth="1"/>
    <col min="11267" max="11267" width="10.28515625" style="2" customWidth="1"/>
    <col min="11268" max="11268" width="9.7109375" style="2" customWidth="1"/>
    <col min="11269" max="11269" width="9.140625" style="2" bestFit="1" customWidth="1"/>
    <col min="11270" max="11270" width="9.28515625" style="2" customWidth="1"/>
    <col min="11271" max="11271" width="9" style="2" customWidth="1"/>
    <col min="11272" max="11272" width="8" style="2" customWidth="1"/>
    <col min="11273" max="11273" width="8.28515625" style="2" customWidth="1"/>
    <col min="11274" max="11274" width="7.85546875" style="2" customWidth="1"/>
    <col min="11275" max="11275" width="9" style="2" customWidth="1"/>
    <col min="11276" max="11276" width="8.42578125" style="2" customWidth="1"/>
    <col min="11277" max="11277" width="8.28515625" style="2" bestFit="1" customWidth="1"/>
    <col min="11278" max="11279" width="9" style="2" customWidth="1"/>
    <col min="11280" max="11280" width="7.140625" style="2" customWidth="1"/>
    <col min="11281" max="11281" width="9.140625" style="2" customWidth="1"/>
    <col min="11282" max="11282" width="7.7109375" style="2" customWidth="1"/>
    <col min="11283" max="11283" width="7.5703125" style="2" customWidth="1"/>
    <col min="11284" max="11284" width="10" style="2" customWidth="1"/>
    <col min="11285" max="11286" width="10.140625" style="2" bestFit="1" customWidth="1"/>
    <col min="11287" max="11287" width="12.7109375" style="2" bestFit="1" customWidth="1"/>
    <col min="11288" max="11288" width="9.140625" style="2" customWidth="1"/>
    <col min="11289" max="11289" width="9" style="2" customWidth="1"/>
    <col min="11290" max="11290" width="8.85546875" style="2" customWidth="1"/>
    <col min="11291" max="11291" width="10.42578125" style="2" customWidth="1"/>
    <col min="11292" max="11292" width="8.7109375" style="2" customWidth="1"/>
    <col min="11293" max="11293" width="8.140625" style="2" customWidth="1"/>
    <col min="11294" max="11294" width="7.7109375" style="2" customWidth="1"/>
    <col min="11295" max="11295" width="9.7109375" style="2" customWidth="1"/>
    <col min="11296" max="11296" width="6.5703125" style="2" bestFit="1" customWidth="1"/>
    <col min="11297" max="11298" width="7.5703125" style="2" customWidth="1"/>
    <col min="11299" max="11299" width="7.7109375" style="2" customWidth="1"/>
    <col min="11300" max="11301" width="9.28515625" style="2" bestFit="1" customWidth="1"/>
    <col min="11302" max="11302" width="9.5703125" style="2" customWidth="1"/>
    <col min="11303" max="11303" width="9.140625" style="2" customWidth="1"/>
    <col min="11304" max="11305" width="7.85546875" style="2" customWidth="1"/>
    <col min="11306" max="11306" width="9.42578125" style="2" customWidth="1"/>
    <col min="11307" max="11307" width="10" style="2" customWidth="1"/>
    <col min="11308" max="11308" width="6.42578125" style="2" customWidth="1"/>
    <col min="11309" max="11309" width="9" style="2" customWidth="1"/>
    <col min="11310" max="11310" width="8.85546875" style="2" customWidth="1"/>
    <col min="11311" max="11311" width="7.7109375" style="2" customWidth="1"/>
    <col min="11312" max="11312" width="9.7109375" style="2" customWidth="1"/>
    <col min="11313" max="11313" width="9.42578125" style="2" customWidth="1"/>
    <col min="11314" max="11314" width="9.85546875" style="2" customWidth="1"/>
    <col min="11315" max="11315" width="7.7109375" style="2" customWidth="1"/>
    <col min="11316" max="11316" width="8.5703125" style="2" customWidth="1"/>
    <col min="11317" max="11317" width="9.140625" style="2" customWidth="1"/>
    <col min="11318" max="11318" width="10.140625" style="2" customWidth="1"/>
    <col min="11319" max="11319" width="10.42578125" style="2" customWidth="1"/>
    <col min="11320" max="11321" width="7.85546875" style="2" customWidth="1"/>
    <col min="11322" max="11322" width="8.28515625" style="2" customWidth="1"/>
    <col min="11323" max="11323" width="10.42578125" style="2" customWidth="1"/>
    <col min="11324" max="11325" width="7.85546875" style="2" customWidth="1"/>
    <col min="11326" max="11326" width="8.28515625" style="2" customWidth="1"/>
    <col min="11327" max="11327" width="10.42578125" style="2" customWidth="1"/>
    <col min="11328" max="11328" width="8.5703125" style="2" customWidth="1"/>
    <col min="11329" max="11329" width="8.85546875" style="2" customWidth="1"/>
    <col min="11330" max="11330" width="8.7109375" style="2" customWidth="1"/>
    <col min="11331" max="11331" width="7.140625" style="2" bestFit="1" customWidth="1"/>
    <col min="11332" max="11332" width="7.7109375" style="2" bestFit="1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8.85546875" style="2" customWidth="1"/>
    <col min="11337" max="11337" width="9.42578125" style="2" customWidth="1"/>
    <col min="11338" max="11339" width="7.7109375" style="2" bestFit="1" customWidth="1"/>
    <col min="11340" max="11340" width="8.85546875" style="2" customWidth="1"/>
    <col min="11341" max="11341" width="9.42578125" style="2" customWidth="1"/>
    <col min="11342" max="11343" width="7.7109375" style="2" bestFit="1" customWidth="1"/>
    <col min="11344" max="11344" width="9.140625" style="2" customWidth="1"/>
    <col min="11345" max="11345" width="10" style="2" customWidth="1"/>
    <col min="11346" max="11346" width="9.5703125" style="2" customWidth="1"/>
    <col min="11347" max="11347" width="9.28515625" style="2" bestFit="1" customWidth="1"/>
    <col min="11348" max="11348" width="9.28515625" style="2" customWidth="1"/>
    <col min="11349" max="11349" width="9.28515625" style="2" bestFit="1" customWidth="1"/>
    <col min="11350" max="11350" width="10.28515625" style="2" customWidth="1"/>
    <col min="11351" max="11351" width="7.7109375" style="2" bestFit="1" customWidth="1"/>
    <col min="11352" max="11352" width="8" style="2" customWidth="1"/>
    <col min="11353" max="11353" width="8.5703125" style="2" customWidth="1"/>
    <col min="11354" max="11354" width="9.7109375" style="2" customWidth="1"/>
    <col min="11355" max="11355" width="9.42578125" style="2" customWidth="1"/>
    <col min="11356" max="11356" width="9.140625" style="2" customWidth="1"/>
    <col min="11357" max="11357" width="11.42578125" style="2" customWidth="1"/>
    <col min="11358" max="11358" width="12.5703125" style="2" customWidth="1"/>
    <col min="11359" max="11359" width="10.28515625" style="2" customWidth="1"/>
    <col min="11360" max="11360" width="7.7109375" style="2" bestFit="1" customWidth="1"/>
    <col min="11361" max="11361" width="8.28515625" style="2" bestFit="1" customWidth="1"/>
    <col min="11362" max="11363" width="7.7109375" style="2" bestFit="1" customWidth="1"/>
    <col min="11364" max="11364" width="6.5703125" style="2" bestFit="1" customWidth="1"/>
    <col min="11365" max="11365" width="8.28515625" style="2" bestFit="1" customWidth="1"/>
    <col min="11366" max="11366" width="6.5703125" style="2" bestFit="1" customWidth="1"/>
    <col min="11367" max="11367" width="7.140625" style="2" bestFit="1" customWidth="1"/>
    <col min="11368" max="11368" width="7.7109375" style="2" bestFit="1" customWidth="1"/>
    <col min="11369" max="11369" width="8.28515625" style="2" bestFit="1" customWidth="1"/>
    <col min="11370" max="11372" width="7.7109375" style="2" bestFit="1" customWidth="1"/>
    <col min="11373" max="11373" width="8.28515625" style="2" bestFit="1" customWidth="1"/>
    <col min="11374" max="11375" width="7.7109375" style="2" bestFit="1" customWidth="1"/>
    <col min="11376" max="11377" width="9.85546875" style="2" customWidth="1"/>
    <col min="11378" max="11378" width="8.5703125" style="2" customWidth="1"/>
    <col min="11379" max="11380" width="8.85546875" style="2" customWidth="1"/>
    <col min="11381" max="11381" width="9.7109375" style="2" customWidth="1"/>
    <col min="11382" max="11382" width="8.5703125" style="2" customWidth="1"/>
    <col min="11383" max="11383" width="7.7109375" style="2" bestFit="1" customWidth="1"/>
    <col min="11384" max="11384" width="7.5703125" style="2" customWidth="1"/>
    <col min="11385" max="11385" width="8.28515625" style="2" bestFit="1" customWidth="1"/>
    <col min="11386" max="11386" width="8.28515625" style="2" customWidth="1"/>
    <col min="11387" max="11387" width="7.140625" style="2" bestFit="1" customWidth="1"/>
    <col min="11388" max="11388" width="9" style="2" customWidth="1"/>
    <col min="11389" max="11389" width="9.5703125" style="2" customWidth="1"/>
    <col min="11390" max="11390" width="9.7109375" style="2" customWidth="1"/>
    <col min="11391" max="11391" width="10.85546875" style="2" customWidth="1"/>
    <col min="11392" max="11392" width="10.42578125" style="2" customWidth="1"/>
    <col min="11393" max="11394" width="11.28515625" style="2" customWidth="1"/>
    <col min="11395" max="11395" width="11" style="2" customWidth="1"/>
    <col min="11396" max="11396" width="6.7109375" style="2" customWidth="1"/>
    <col min="11397" max="11399" width="9.85546875" style="2"/>
    <col min="11400" max="11400" width="13.140625" style="2" customWidth="1"/>
    <col min="11401" max="11477" width="9.85546875" style="2"/>
    <col min="11478" max="11478" width="27.5703125" style="2" customWidth="1"/>
    <col min="11479" max="11479" width="5.28515625" style="2" customWidth="1"/>
    <col min="11480" max="11481" width="9" style="2" customWidth="1"/>
    <col min="11482" max="11482" width="9.5703125" style="2" customWidth="1"/>
    <col min="11483" max="11483" width="9.7109375" style="2" customWidth="1"/>
    <col min="11484" max="11484" width="7.5703125" style="2" customWidth="1"/>
    <col min="11485" max="11485" width="10.42578125" style="2" customWidth="1"/>
    <col min="11486" max="11486" width="9.140625" style="2" bestFit="1" customWidth="1"/>
    <col min="11487" max="11487" width="7.28515625" style="2" customWidth="1"/>
    <col min="11488" max="11489" width="9.28515625" style="2" customWidth="1"/>
    <col min="11490" max="11490" width="9.5703125" style="2" customWidth="1"/>
    <col min="11491" max="11492" width="9" style="2" customWidth="1"/>
    <col min="11493" max="11493" width="8" style="2" customWidth="1"/>
    <col min="11494" max="11494" width="8.5703125" style="2" customWidth="1"/>
    <col min="11495" max="11495" width="8.28515625" style="2" customWidth="1"/>
    <col min="11496" max="11496" width="9.5703125" style="2" customWidth="1"/>
    <col min="11497" max="11497" width="8.42578125" style="2" customWidth="1"/>
    <col min="11498" max="11498" width="8.140625" style="2" customWidth="1"/>
    <col min="11499" max="11499" width="7.5703125" style="2" customWidth="1"/>
    <col min="11500" max="11500" width="9.140625" style="2" customWidth="1"/>
    <col min="11501" max="11501" width="9" style="2" customWidth="1"/>
    <col min="11502" max="11502" width="8.5703125" style="2" customWidth="1"/>
    <col min="11503" max="11503" width="7.85546875" style="2" customWidth="1"/>
    <col min="11504" max="11504" width="6.7109375" style="2" customWidth="1"/>
    <col min="11505" max="11505" width="5.7109375" style="2" customWidth="1"/>
    <col min="11506" max="11506" width="6.28515625" style="2" customWidth="1"/>
    <col min="11507" max="11507" width="6.5703125" style="2" customWidth="1"/>
    <col min="11508" max="11508" width="8.7109375" style="2" customWidth="1"/>
    <col min="11509" max="11509" width="9" style="2" customWidth="1"/>
    <col min="11510" max="11510" width="8.28515625" style="2" customWidth="1"/>
    <col min="11511" max="11511" width="8.42578125" style="2" customWidth="1"/>
    <col min="11512" max="11512" width="9.85546875" style="2" customWidth="1"/>
    <col min="11513" max="11513" width="10" style="2" customWidth="1"/>
    <col min="11514" max="11514" width="10.140625" style="2" customWidth="1"/>
    <col min="11515" max="11515" width="10.5703125" style="2" customWidth="1"/>
    <col min="11516" max="11516" width="8.140625" style="2" customWidth="1"/>
    <col min="11517" max="11517" width="7.85546875" style="2" customWidth="1"/>
    <col min="11518" max="11518" width="9" style="2" customWidth="1"/>
    <col min="11519" max="11519" width="10" style="2" customWidth="1"/>
    <col min="11520" max="11520" width="10.28515625" style="2" customWidth="1"/>
    <col min="11521" max="11521" width="10.140625" style="2" customWidth="1"/>
    <col min="11522" max="11522" width="10.5703125" style="2" customWidth="1"/>
    <col min="11523" max="11523" width="10.28515625" style="2" customWidth="1"/>
    <col min="11524" max="11524" width="9.7109375" style="2" customWidth="1"/>
    <col min="11525" max="11525" width="9.140625" style="2" bestFit="1" customWidth="1"/>
    <col min="11526" max="11526" width="9.28515625" style="2" customWidth="1"/>
    <col min="11527" max="11527" width="9" style="2" customWidth="1"/>
    <col min="11528" max="11528" width="8" style="2" customWidth="1"/>
    <col min="11529" max="11529" width="8.28515625" style="2" customWidth="1"/>
    <col min="11530" max="11530" width="7.85546875" style="2" customWidth="1"/>
    <col min="11531" max="11531" width="9" style="2" customWidth="1"/>
    <col min="11532" max="11532" width="8.42578125" style="2" customWidth="1"/>
    <col min="11533" max="11533" width="8.28515625" style="2" bestFit="1" customWidth="1"/>
    <col min="11534" max="11535" width="9" style="2" customWidth="1"/>
    <col min="11536" max="11536" width="7.140625" style="2" customWidth="1"/>
    <col min="11537" max="11537" width="9.140625" style="2" customWidth="1"/>
    <col min="11538" max="11538" width="7.7109375" style="2" customWidth="1"/>
    <col min="11539" max="11539" width="7.5703125" style="2" customWidth="1"/>
    <col min="11540" max="11540" width="10" style="2" customWidth="1"/>
    <col min="11541" max="11542" width="10.140625" style="2" bestFit="1" customWidth="1"/>
    <col min="11543" max="11543" width="12.7109375" style="2" bestFit="1" customWidth="1"/>
    <col min="11544" max="11544" width="9.140625" style="2" customWidth="1"/>
    <col min="11545" max="11545" width="9" style="2" customWidth="1"/>
    <col min="11546" max="11546" width="8.85546875" style="2" customWidth="1"/>
    <col min="11547" max="11547" width="10.42578125" style="2" customWidth="1"/>
    <col min="11548" max="11548" width="8.7109375" style="2" customWidth="1"/>
    <col min="11549" max="11549" width="8.140625" style="2" customWidth="1"/>
    <col min="11550" max="11550" width="7.7109375" style="2" customWidth="1"/>
    <col min="11551" max="11551" width="9.7109375" style="2" customWidth="1"/>
    <col min="11552" max="11552" width="6.5703125" style="2" bestFit="1" customWidth="1"/>
    <col min="11553" max="11554" width="7.5703125" style="2" customWidth="1"/>
    <col min="11555" max="11555" width="7.7109375" style="2" customWidth="1"/>
    <col min="11556" max="11557" width="9.28515625" style="2" bestFit="1" customWidth="1"/>
    <col min="11558" max="11558" width="9.5703125" style="2" customWidth="1"/>
    <col min="11559" max="11559" width="9.140625" style="2" customWidth="1"/>
    <col min="11560" max="11561" width="7.85546875" style="2" customWidth="1"/>
    <col min="11562" max="11562" width="9.42578125" style="2" customWidth="1"/>
    <col min="11563" max="11563" width="10" style="2" customWidth="1"/>
    <col min="11564" max="11564" width="6.42578125" style="2" customWidth="1"/>
    <col min="11565" max="11565" width="9" style="2" customWidth="1"/>
    <col min="11566" max="11566" width="8.85546875" style="2" customWidth="1"/>
    <col min="11567" max="11567" width="7.7109375" style="2" customWidth="1"/>
    <col min="11568" max="11568" width="9.7109375" style="2" customWidth="1"/>
    <col min="11569" max="11569" width="9.42578125" style="2" customWidth="1"/>
    <col min="11570" max="11570" width="9.85546875" style="2" customWidth="1"/>
    <col min="11571" max="11571" width="7.7109375" style="2" customWidth="1"/>
    <col min="11572" max="11572" width="8.5703125" style="2" customWidth="1"/>
    <col min="11573" max="11573" width="9.140625" style="2" customWidth="1"/>
    <col min="11574" max="11574" width="10.140625" style="2" customWidth="1"/>
    <col min="11575" max="11575" width="10.42578125" style="2" customWidth="1"/>
    <col min="11576" max="11577" width="7.85546875" style="2" customWidth="1"/>
    <col min="11578" max="11578" width="8.28515625" style="2" customWidth="1"/>
    <col min="11579" max="11579" width="10.42578125" style="2" customWidth="1"/>
    <col min="11580" max="11581" width="7.85546875" style="2" customWidth="1"/>
    <col min="11582" max="11582" width="8.28515625" style="2" customWidth="1"/>
    <col min="11583" max="11583" width="10.42578125" style="2" customWidth="1"/>
    <col min="11584" max="11584" width="8.5703125" style="2" customWidth="1"/>
    <col min="11585" max="11585" width="8.85546875" style="2" customWidth="1"/>
    <col min="11586" max="11586" width="8.7109375" style="2" customWidth="1"/>
    <col min="11587" max="11587" width="7.140625" style="2" bestFit="1" customWidth="1"/>
    <col min="11588" max="11588" width="7.7109375" style="2" bestFit="1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8.85546875" style="2" customWidth="1"/>
    <col min="11593" max="11593" width="9.42578125" style="2" customWidth="1"/>
    <col min="11594" max="11595" width="7.7109375" style="2" bestFit="1" customWidth="1"/>
    <col min="11596" max="11596" width="8.85546875" style="2" customWidth="1"/>
    <col min="11597" max="11597" width="9.42578125" style="2" customWidth="1"/>
    <col min="11598" max="11599" width="7.7109375" style="2" bestFit="1" customWidth="1"/>
    <col min="11600" max="11600" width="9.140625" style="2" customWidth="1"/>
    <col min="11601" max="11601" width="10" style="2" customWidth="1"/>
    <col min="11602" max="11602" width="9.5703125" style="2" customWidth="1"/>
    <col min="11603" max="11603" width="9.28515625" style="2" bestFit="1" customWidth="1"/>
    <col min="11604" max="11604" width="9.28515625" style="2" customWidth="1"/>
    <col min="11605" max="11605" width="9.28515625" style="2" bestFit="1" customWidth="1"/>
    <col min="11606" max="11606" width="10.28515625" style="2" customWidth="1"/>
    <col min="11607" max="11607" width="7.7109375" style="2" bestFit="1" customWidth="1"/>
    <col min="11608" max="11608" width="8" style="2" customWidth="1"/>
    <col min="11609" max="11609" width="8.5703125" style="2" customWidth="1"/>
    <col min="11610" max="11610" width="9.7109375" style="2" customWidth="1"/>
    <col min="11611" max="11611" width="9.42578125" style="2" customWidth="1"/>
    <col min="11612" max="11612" width="9.140625" style="2" customWidth="1"/>
    <col min="11613" max="11613" width="11.42578125" style="2" customWidth="1"/>
    <col min="11614" max="11614" width="12.5703125" style="2" customWidth="1"/>
    <col min="11615" max="11615" width="10.28515625" style="2" customWidth="1"/>
    <col min="11616" max="11616" width="7.7109375" style="2" bestFit="1" customWidth="1"/>
    <col min="11617" max="11617" width="8.28515625" style="2" bestFit="1" customWidth="1"/>
    <col min="11618" max="11619" width="7.7109375" style="2" bestFit="1" customWidth="1"/>
    <col min="11620" max="11620" width="6.5703125" style="2" bestFit="1" customWidth="1"/>
    <col min="11621" max="11621" width="8.28515625" style="2" bestFit="1" customWidth="1"/>
    <col min="11622" max="11622" width="6.5703125" style="2" bestFit="1" customWidth="1"/>
    <col min="11623" max="11623" width="7.140625" style="2" bestFit="1" customWidth="1"/>
    <col min="11624" max="11624" width="7.7109375" style="2" bestFit="1" customWidth="1"/>
    <col min="11625" max="11625" width="8.28515625" style="2" bestFit="1" customWidth="1"/>
    <col min="11626" max="11628" width="7.7109375" style="2" bestFit="1" customWidth="1"/>
    <col min="11629" max="11629" width="8.28515625" style="2" bestFit="1" customWidth="1"/>
    <col min="11630" max="11631" width="7.7109375" style="2" bestFit="1" customWidth="1"/>
    <col min="11632" max="11633" width="9.85546875" style="2" customWidth="1"/>
    <col min="11634" max="11634" width="8.5703125" style="2" customWidth="1"/>
    <col min="11635" max="11636" width="8.85546875" style="2" customWidth="1"/>
    <col min="11637" max="11637" width="9.7109375" style="2" customWidth="1"/>
    <col min="11638" max="11638" width="8.5703125" style="2" customWidth="1"/>
    <col min="11639" max="11639" width="7.7109375" style="2" bestFit="1" customWidth="1"/>
    <col min="11640" max="11640" width="7.5703125" style="2" customWidth="1"/>
    <col min="11641" max="11641" width="8.28515625" style="2" bestFit="1" customWidth="1"/>
    <col min="11642" max="11642" width="8.28515625" style="2" customWidth="1"/>
    <col min="11643" max="11643" width="7.140625" style="2" bestFit="1" customWidth="1"/>
    <col min="11644" max="11644" width="9" style="2" customWidth="1"/>
    <col min="11645" max="11645" width="9.5703125" style="2" customWidth="1"/>
    <col min="11646" max="11646" width="9.7109375" style="2" customWidth="1"/>
    <col min="11647" max="11647" width="10.85546875" style="2" customWidth="1"/>
    <col min="11648" max="11648" width="10.42578125" style="2" customWidth="1"/>
    <col min="11649" max="11650" width="11.28515625" style="2" customWidth="1"/>
    <col min="11651" max="11651" width="11" style="2" customWidth="1"/>
    <col min="11652" max="11652" width="6.7109375" style="2" customWidth="1"/>
    <col min="11653" max="11655" width="9.85546875" style="2"/>
    <col min="11656" max="11656" width="13.140625" style="2" customWidth="1"/>
    <col min="11657" max="11733" width="9.85546875" style="2"/>
    <col min="11734" max="11734" width="27.5703125" style="2" customWidth="1"/>
    <col min="11735" max="11735" width="5.28515625" style="2" customWidth="1"/>
    <col min="11736" max="11737" width="9" style="2" customWidth="1"/>
    <col min="11738" max="11738" width="9.5703125" style="2" customWidth="1"/>
    <col min="11739" max="11739" width="9.7109375" style="2" customWidth="1"/>
    <col min="11740" max="11740" width="7.5703125" style="2" customWidth="1"/>
    <col min="11741" max="11741" width="10.42578125" style="2" customWidth="1"/>
    <col min="11742" max="11742" width="9.140625" style="2" bestFit="1" customWidth="1"/>
    <col min="11743" max="11743" width="7.28515625" style="2" customWidth="1"/>
    <col min="11744" max="11745" width="9.28515625" style="2" customWidth="1"/>
    <col min="11746" max="11746" width="9.5703125" style="2" customWidth="1"/>
    <col min="11747" max="11748" width="9" style="2" customWidth="1"/>
    <col min="11749" max="11749" width="8" style="2" customWidth="1"/>
    <col min="11750" max="11750" width="8.5703125" style="2" customWidth="1"/>
    <col min="11751" max="11751" width="8.28515625" style="2" customWidth="1"/>
    <col min="11752" max="11752" width="9.5703125" style="2" customWidth="1"/>
    <col min="11753" max="11753" width="8.42578125" style="2" customWidth="1"/>
    <col min="11754" max="11754" width="8.140625" style="2" customWidth="1"/>
    <col min="11755" max="11755" width="7.5703125" style="2" customWidth="1"/>
    <col min="11756" max="11756" width="9.140625" style="2" customWidth="1"/>
    <col min="11757" max="11757" width="9" style="2" customWidth="1"/>
    <col min="11758" max="11758" width="8.5703125" style="2" customWidth="1"/>
    <col min="11759" max="11759" width="7.85546875" style="2" customWidth="1"/>
    <col min="11760" max="11760" width="6.7109375" style="2" customWidth="1"/>
    <col min="11761" max="11761" width="5.7109375" style="2" customWidth="1"/>
    <col min="11762" max="11762" width="6.28515625" style="2" customWidth="1"/>
    <col min="11763" max="11763" width="6.5703125" style="2" customWidth="1"/>
    <col min="11764" max="11764" width="8.7109375" style="2" customWidth="1"/>
    <col min="11765" max="11765" width="9" style="2" customWidth="1"/>
    <col min="11766" max="11766" width="8.28515625" style="2" customWidth="1"/>
    <col min="11767" max="11767" width="8.42578125" style="2" customWidth="1"/>
    <col min="11768" max="11768" width="9.85546875" style="2" customWidth="1"/>
    <col min="11769" max="11769" width="10" style="2" customWidth="1"/>
    <col min="11770" max="11770" width="10.140625" style="2" customWidth="1"/>
    <col min="11771" max="11771" width="10.5703125" style="2" customWidth="1"/>
    <col min="11772" max="11772" width="8.140625" style="2" customWidth="1"/>
    <col min="11773" max="11773" width="7.85546875" style="2" customWidth="1"/>
    <col min="11774" max="11774" width="9" style="2" customWidth="1"/>
    <col min="11775" max="11775" width="10" style="2" customWidth="1"/>
    <col min="11776" max="11776" width="10.28515625" style="2" customWidth="1"/>
    <col min="11777" max="11777" width="10.140625" style="2" customWidth="1"/>
    <col min="11778" max="11778" width="10.5703125" style="2" customWidth="1"/>
    <col min="11779" max="11779" width="10.28515625" style="2" customWidth="1"/>
    <col min="11780" max="11780" width="9.7109375" style="2" customWidth="1"/>
    <col min="11781" max="11781" width="9.140625" style="2" bestFit="1" customWidth="1"/>
    <col min="11782" max="11782" width="9.28515625" style="2" customWidth="1"/>
    <col min="11783" max="11783" width="9" style="2" customWidth="1"/>
    <col min="11784" max="11784" width="8" style="2" customWidth="1"/>
    <col min="11785" max="11785" width="8.28515625" style="2" customWidth="1"/>
    <col min="11786" max="11786" width="7.85546875" style="2" customWidth="1"/>
    <col min="11787" max="11787" width="9" style="2" customWidth="1"/>
    <col min="11788" max="11788" width="8.42578125" style="2" customWidth="1"/>
    <col min="11789" max="11789" width="8.28515625" style="2" bestFit="1" customWidth="1"/>
    <col min="11790" max="11791" width="9" style="2" customWidth="1"/>
    <col min="11792" max="11792" width="7.140625" style="2" customWidth="1"/>
    <col min="11793" max="11793" width="9.140625" style="2" customWidth="1"/>
    <col min="11794" max="11794" width="7.7109375" style="2" customWidth="1"/>
    <col min="11795" max="11795" width="7.5703125" style="2" customWidth="1"/>
    <col min="11796" max="11796" width="10" style="2" customWidth="1"/>
    <col min="11797" max="11798" width="10.140625" style="2" bestFit="1" customWidth="1"/>
    <col min="11799" max="11799" width="12.7109375" style="2" bestFit="1" customWidth="1"/>
    <col min="11800" max="11800" width="9.140625" style="2" customWidth="1"/>
    <col min="11801" max="11801" width="9" style="2" customWidth="1"/>
    <col min="11802" max="11802" width="8.85546875" style="2" customWidth="1"/>
    <col min="11803" max="11803" width="10.42578125" style="2" customWidth="1"/>
    <col min="11804" max="11804" width="8.7109375" style="2" customWidth="1"/>
    <col min="11805" max="11805" width="8.140625" style="2" customWidth="1"/>
    <col min="11806" max="11806" width="7.7109375" style="2" customWidth="1"/>
    <col min="11807" max="11807" width="9.7109375" style="2" customWidth="1"/>
    <col min="11808" max="11808" width="6.5703125" style="2" bestFit="1" customWidth="1"/>
    <col min="11809" max="11810" width="7.5703125" style="2" customWidth="1"/>
    <col min="11811" max="11811" width="7.7109375" style="2" customWidth="1"/>
    <col min="11812" max="11813" width="9.28515625" style="2" bestFit="1" customWidth="1"/>
    <col min="11814" max="11814" width="9.5703125" style="2" customWidth="1"/>
    <col min="11815" max="11815" width="9.140625" style="2" customWidth="1"/>
    <col min="11816" max="11817" width="7.85546875" style="2" customWidth="1"/>
    <col min="11818" max="11818" width="9.42578125" style="2" customWidth="1"/>
    <col min="11819" max="11819" width="10" style="2" customWidth="1"/>
    <col min="11820" max="11820" width="6.42578125" style="2" customWidth="1"/>
    <col min="11821" max="11821" width="9" style="2" customWidth="1"/>
    <col min="11822" max="11822" width="8.85546875" style="2" customWidth="1"/>
    <col min="11823" max="11823" width="7.7109375" style="2" customWidth="1"/>
    <col min="11824" max="11824" width="9.7109375" style="2" customWidth="1"/>
    <col min="11825" max="11825" width="9.42578125" style="2" customWidth="1"/>
    <col min="11826" max="11826" width="9.85546875" style="2" customWidth="1"/>
    <col min="11827" max="11827" width="7.7109375" style="2" customWidth="1"/>
    <col min="11828" max="11828" width="8.5703125" style="2" customWidth="1"/>
    <col min="11829" max="11829" width="9.140625" style="2" customWidth="1"/>
    <col min="11830" max="11830" width="10.140625" style="2" customWidth="1"/>
    <col min="11831" max="11831" width="10.42578125" style="2" customWidth="1"/>
    <col min="11832" max="11833" width="7.85546875" style="2" customWidth="1"/>
    <col min="11834" max="11834" width="8.28515625" style="2" customWidth="1"/>
    <col min="11835" max="11835" width="10.42578125" style="2" customWidth="1"/>
    <col min="11836" max="11837" width="7.85546875" style="2" customWidth="1"/>
    <col min="11838" max="11838" width="8.28515625" style="2" customWidth="1"/>
    <col min="11839" max="11839" width="10.42578125" style="2" customWidth="1"/>
    <col min="11840" max="11840" width="8.5703125" style="2" customWidth="1"/>
    <col min="11841" max="11841" width="8.85546875" style="2" customWidth="1"/>
    <col min="11842" max="11842" width="8.7109375" style="2" customWidth="1"/>
    <col min="11843" max="11843" width="7.140625" style="2" bestFit="1" customWidth="1"/>
    <col min="11844" max="11844" width="7.7109375" style="2" bestFit="1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8.85546875" style="2" customWidth="1"/>
    <col min="11849" max="11849" width="9.42578125" style="2" customWidth="1"/>
    <col min="11850" max="11851" width="7.7109375" style="2" bestFit="1" customWidth="1"/>
    <col min="11852" max="11852" width="8.85546875" style="2" customWidth="1"/>
    <col min="11853" max="11853" width="9.42578125" style="2" customWidth="1"/>
    <col min="11854" max="11855" width="7.7109375" style="2" bestFit="1" customWidth="1"/>
    <col min="11856" max="11856" width="9.140625" style="2" customWidth="1"/>
    <col min="11857" max="11857" width="10" style="2" customWidth="1"/>
    <col min="11858" max="11858" width="9.5703125" style="2" customWidth="1"/>
    <col min="11859" max="11859" width="9.28515625" style="2" bestFit="1" customWidth="1"/>
    <col min="11860" max="11860" width="9.28515625" style="2" customWidth="1"/>
    <col min="11861" max="11861" width="9.28515625" style="2" bestFit="1" customWidth="1"/>
    <col min="11862" max="11862" width="10.28515625" style="2" customWidth="1"/>
    <col min="11863" max="11863" width="7.7109375" style="2" bestFit="1" customWidth="1"/>
    <col min="11864" max="11864" width="8" style="2" customWidth="1"/>
    <col min="11865" max="11865" width="8.5703125" style="2" customWidth="1"/>
    <col min="11866" max="11866" width="9.7109375" style="2" customWidth="1"/>
    <col min="11867" max="11867" width="9.42578125" style="2" customWidth="1"/>
    <col min="11868" max="11868" width="9.140625" style="2" customWidth="1"/>
    <col min="11869" max="11869" width="11.42578125" style="2" customWidth="1"/>
    <col min="11870" max="11870" width="12.5703125" style="2" customWidth="1"/>
    <col min="11871" max="11871" width="10.28515625" style="2" customWidth="1"/>
    <col min="11872" max="11872" width="7.7109375" style="2" bestFit="1" customWidth="1"/>
    <col min="11873" max="11873" width="8.28515625" style="2" bestFit="1" customWidth="1"/>
    <col min="11874" max="11875" width="7.7109375" style="2" bestFit="1" customWidth="1"/>
    <col min="11876" max="11876" width="6.5703125" style="2" bestFit="1" customWidth="1"/>
    <col min="11877" max="11877" width="8.28515625" style="2" bestFit="1" customWidth="1"/>
    <col min="11878" max="11878" width="6.5703125" style="2" bestFit="1" customWidth="1"/>
    <col min="11879" max="11879" width="7.140625" style="2" bestFit="1" customWidth="1"/>
    <col min="11880" max="11880" width="7.7109375" style="2" bestFit="1" customWidth="1"/>
    <col min="11881" max="11881" width="8.28515625" style="2" bestFit="1" customWidth="1"/>
    <col min="11882" max="11884" width="7.7109375" style="2" bestFit="1" customWidth="1"/>
    <col min="11885" max="11885" width="8.28515625" style="2" bestFit="1" customWidth="1"/>
    <col min="11886" max="11887" width="7.7109375" style="2" bestFit="1" customWidth="1"/>
    <col min="11888" max="11889" width="9.85546875" style="2" customWidth="1"/>
    <col min="11890" max="11890" width="8.5703125" style="2" customWidth="1"/>
    <col min="11891" max="11892" width="8.85546875" style="2" customWidth="1"/>
    <col min="11893" max="11893" width="9.7109375" style="2" customWidth="1"/>
    <col min="11894" max="11894" width="8.5703125" style="2" customWidth="1"/>
    <col min="11895" max="11895" width="7.7109375" style="2" bestFit="1" customWidth="1"/>
    <col min="11896" max="11896" width="7.5703125" style="2" customWidth="1"/>
    <col min="11897" max="11897" width="8.28515625" style="2" bestFit="1" customWidth="1"/>
    <col min="11898" max="11898" width="8.28515625" style="2" customWidth="1"/>
    <col min="11899" max="11899" width="7.140625" style="2" bestFit="1" customWidth="1"/>
    <col min="11900" max="11900" width="9" style="2" customWidth="1"/>
    <col min="11901" max="11901" width="9.5703125" style="2" customWidth="1"/>
    <col min="11902" max="11902" width="9.7109375" style="2" customWidth="1"/>
    <col min="11903" max="11903" width="10.85546875" style="2" customWidth="1"/>
    <col min="11904" max="11904" width="10.42578125" style="2" customWidth="1"/>
    <col min="11905" max="11906" width="11.28515625" style="2" customWidth="1"/>
    <col min="11907" max="11907" width="11" style="2" customWidth="1"/>
    <col min="11908" max="11908" width="6.7109375" style="2" customWidth="1"/>
    <col min="11909" max="11911" width="9.85546875" style="2"/>
    <col min="11912" max="11912" width="13.140625" style="2" customWidth="1"/>
    <col min="11913" max="11989" width="9.85546875" style="2"/>
    <col min="11990" max="11990" width="27.5703125" style="2" customWidth="1"/>
    <col min="11991" max="11991" width="5.28515625" style="2" customWidth="1"/>
    <col min="11992" max="11993" width="9" style="2" customWidth="1"/>
    <col min="11994" max="11994" width="9.5703125" style="2" customWidth="1"/>
    <col min="11995" max="11995" width="9.7109375" style="2" customWidth="1"/>
    <col min="11996" max="11996" width="7.5703125" style="2" customWidth="1"/>
    <col min="11997" max="11997" width="10.42578125" style="2" customWidth="1"/>
    <col min="11998" max="11998" width="9.140625" style="2" bestFit="1" customWidth="1"/>
    <col min="11999" max="11999" width="7.28515625" style="2" customWidth="1"/>
    <col min="12000" max="12001" width="9.28515625" style="2" customWidth="1"/>
    <col min="12002" max="12002" width="9.5703125" style="2" customWidth="1"/>
    <col min="12003" max="12004" width="9" style="2" customWidth="1"/>
    <col min="12005" max="12005" width="8" style="2" customWidth="1"/>
    <col min="12006" max="12006" width="8.5703125" style="2" customWidth="1"/>
    <col min="12007" max="12007" width="8.28515625" style="2" customWidth="1"/>
    <col min="12008" max="12008" width="9.5703125" style="2" customWidth="1"/>
    <col min="12009" max="12009" width="8.42578125" style="2" customWidth="1"/>
    <col min="12010" max="12010" width="8.140625" style="2" customWidth="1"/>
    <col min="12011" max="12011" width="7.5703125" style="2" customWidth="1"/>
    <col min="12012" max="12012" width="9.140625" style="2" customWidth="1"/>
    <col min="12013" max="12013" width="9" style="2" customWidth="1"/>
    <col min="12014" max="12014" width="8.5703125" style="2" customWidth="1"/>
    <col min="12015" max="12015" width="7.85546875" style="2" customWidth="1"/>
    <col min="12016" max="12016" width="6.7109375" style="2" customWidth="1"/>
    <col min="12017" max="12017" width="5.7109375" style="2" customWidth="1"/>
    <col min="12018" max="12018" width="6.28515625" style="2" customWidth="1"/>
    <col min="12019" max="12019" width="6.5703125" style="2" customWidth="1"/>
    <col min="12020" max="12020" width="8.7109375" style="2" customWidth="1"/>
    <col min="12021" max="12021" width="9" style="2" customWidth="1"/>
    <col min="12022" max="12022" width="8.28515625" style="2" customWidth="1"/>
    <col min="12023" max="12023" width="8.42578125" style="2" customWidth="1"/>
    <col min="12024" max="12024" width="9.85546875" style="2" customWidth="1"/>
    <col min="12025" max="12025" width="10" style="2" customWidth="1"/>
    <col min="12026" max="12026" width="10.140625" style="2" customWidth="1"/>
    <col min="12027" max="12027" width="10.5703125" style="2" customWidth="1"/>
    <col min="12028" max="12028" width="8.140625" style="2" customWidth="1"/>
    <col min="12029" max="12029" width="7.85546875" style="2" customWidth="1"/>
    <col min="12030" max="12030" width="9" style="2" customWidth="1"/>
    <col min="12031" max="12031" width="10" style="2" customWidth="1"/>
    <col min="12032" max="12032" width="10.28515625" style="2" customWidth="1"/>
    <col min="12033" max="12033" width="10.140625" style="2" customWidth="1"/>
    <col min="12034" max="12034" width="10.5703125" style="2" customWidth="1"/>
    <col min="12035" max="12035" width="10.28515625" style="2" customWidth="1"/>
    <col min="12036" max="12036" width="9.7109375" style="2" customWidth="1"/>
    <col min="12037" max="12037" width="9.140625" style="2" bestFit="1" customWidth="1"/>
    <col min="12038" max="12038" width="9.28515625" style="2" customWidth="1"/>
    <col min="12039" max="12039" width="9" style="2" customWidth="1"/>
    <col min="12040" max="12040" width="8" style="2" customWidth="1"/>
    <col min="12041" max="12041" width="8.28515625" style="2" customWidth="1"/>
    <col min="12042" max="12042" width="7.85546875" style="2" customWidth="1"/>
    <col min="12043" max="12043" width="9" style="2" customWidth="1"/>
    <col min="12044" max="12044" width="8.42578125" style="2" customWidth="1"/>
    <col min="12045" max="12045" width="8.28515625" style="2" bestFit="1" customWidth="1"/>
    <col min="12046" max="12047" width="9" style="2" customWidth="1"/>
    <col min="12048" max="12048" width="7.140625" style="2" customWidth="1"/>
    <col min="12049" max="12049" width="9.140625" style="2" customWidth="1"/>
    <col min="12050" max="12050" width="7.7109375" style="2" customWidth="1"/>
    <col min="12051" max="12051" width="7.5703125" style="2" customWidth="1"/>
    <col min="12052" max="12052" width="10" style="2" customWidth="1"/>
    <col min="12053" max="12054" width="10.140625" style="2" bestFit="1" customWidth="1"/>
    <col min="12055" max="12055" width="12.7109375" style="2" bestFit="1" customWidth="1"/>
    <col min="12056" max="12056" width="9.140625" style="2" customWidth="1"/>
    <col min="12057" max="12057" width="9" style="2" customWidth="1"/>
    <col min="12058" max="12058" width="8.85546875" style="2" customWidth="1"/>
    <col min="12059" max="12059" width="10.42578125" style="2" customWidth="1"/>
    <col min="12060" max="12060" width="8.7109375" style="2" customWidth="1"/>
    <col min="12061" max="12061" width="8.140625" style="2" customWidth="1"/>
    <col min="12062" max="12062" width="7.7109375" style="2" customWidth="1"/>
    <col min="12063" max="12063" width="9.7109375" style="2" customWidth="1"/>
    <col min="12064" max="12064" width="6.5703125" style="2" bestFit="1" customWidth="1"/>
    <col min="12065" max="12066" width="7.5703125" style="2" customWidth="1"/>
    <col min="12067" max="12067" width="7.7109375" style="2" customWidth="1"/>
    <col min="12068" max="12069" width="9.28515625" style="2" bestFit="1" customWidth="1"/>
    <col min="12070" max="12070" width="9.5703125" style="2" customWidth="1"/>
    <col min="12071" max="12071" width="9.140625" style="2" customWidth="1"/>
    <col min="12072" max="12073" width="7.85546875" style="2" customWidth="1"/>
    <col min="12074" max="12074" width="9.42578125" style="2" customWidth="1"/>
    <col min="12075" max="12075" width="10" style="2" customWidth="1"/>
    <col min="12076" max="12076" width="6.42578125" style="2" customWidth="1"/>
    <col min="12077" max="12077" width="9" style="2" customWidth="1"/>
    <col min="12078" max="12078" width="8.85546875" style="2" customWidth="1"/>
    <col min="12079" max="12079" width="7.7109375" style="2" customWidth="1"/>
    <col min="12080" max="12080" width="9.7109375" style="2" customWidth="1"/>
    <col min="12081" max="12081" width="9.42578125" style="2" customWidth="1"/>
    <col min="12082" max="12082" width="9.85546875" style="2" customWidth="1"/>
    <col min="12083" max="12083" width="7.7109375" style="2" customWidth="1"/>
    <col min="12084" max="12084" width="8.5703125" style="2" customWidth="1"/>
    <col min="12085" max="12085" width="9.140625" style="2" customWidth="1"/>
    <col min="12086" max="12086" width="10.140625" style="2" customWidth="1"/>
    <col min="12087" max="12087" width="10.42578125" style="2" customWidth="1"/>
    <col min="12088" max="12089" width="7.85546875" style="2" customWidth="1"/>
    <col min="12090" max="12090" width="8.28515625" style="2" customWidth="1"/>
    <col min="12091" max="12091" width="10.42578125" style="2" customWidth="1"/>
    <col min="12092" max="12093" width="7.85546875" style="2" customWidth="1"/>
    <col min="12094" max="12094" width="8.28515625" style="2" customWidth="1"/>
    <col min="12095" max="12095" width="10.42578125" style="2" customWidth="1"/>
    <col min="12096" max="12096" width="8.5703125" style="2" customWidth="1"/>
    <col min="12097" max="12097" width="8.85546875" style="2" customWidth="1"/>
    <col min="12098" max="12098" width="8.7109375" style="2" customWidth="1"/>
    <col min="12099" max="12099" width="7.140625" style="2" bestFit="1" customWidth="1"/>
    <col min="12100" max="12100" width="7.7109375" style="2" bestFit="1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8.85546875" style="2" customWidth="1"/>
    <col min="12105" max="12105" width="9.42578125" style="2" customWidth="1"/>
    <col min="12106" max="12107" width="7.7109375" style="2" bestFit="1" customWidth="1"/>
    <col min="12108" max="12108" width="8.85546875" style="2" customWidth="1"/>
    <col min="12109" max="12109" width="9.42578125" style="2" customWidth="1"/>
    <col min="12110" max="12111" width="7.7109375" style="2" bestFit="1" customWidth="1"/>
    <col min="12112" max="12112" width="9.140625" style="2" customWidth="1"/>
    <col min="12113" max="12113" width="10" style="2" customWidth="1"/>
    <col min="12114" max="12114" width="9.5703125" style="2" customWidth="1"/>
    <col min="12115" max="12115" width="9.28515625" style="2" bestFit="1" customWidth="1"/>
    <col min="12116" max="12116" width="9.28515625" style="2" customWidth="1"/>
    <col min="12117" max="12117" width="9.28515625" style="2" bestFit="1" customWidth="1"/>
    <col min="12118" max="12118" width="10.28515625" style="2" customWidth="1"/>
    <col min="12119" max="12119" width="7.7109375" style="2" bestFit="1" customWidth="1"/>
    <col min="12120" max="12120" width="8" style="2" customWidth="1"/>
    <col min="12121" max="12121" width="8.5703125" style="2" customWidth="1"/>
    <col min="12122" max="12122" width="9.7109375" style="2" customWidth="1"/>
    <col min="12123" max="12123" width="9.42578125" style="2" customWidth="1"/>
    <col min="12124" max="12124" width="9.140625" style="2" customWidth="1"/>
    <col min="12125" max="12125" width="11.42578125" style="2" customWidth="1"/>
    <col min="12126" max="12126" width="12.5703125" style="2" customWidth="1"/>
    <col min="12127" max="12127" width="10.28515625" style="2" customWidth="1"/>
    <col min="12128" max="12128" width="7.7109375" style="2" bestFit="1" customWidth="1"/>
    <col min="12129" max="12129" width="8.28515625" style="2" bestFit="1" customWidth="1"/>
    <col min="12130" max="12131" width="7.7109375" style="2" bestFit="1" customWidth="1"/>
    <col min="12132" max="12132" width="6.5703125" style="2" bestFit="1" customWidth="1"/>
    <col min="12133" max="12133" width="8.28515625" style="2" bestFit="1" customWidth="1"/>
    <col min="12134" max="12134" width="6.5703125" style="2" bestFit="1" customWidth="1"/>
    <col min="12135" max="12135" width="7.140625" style="2" bestFit="1" customWidth="1"/>
    <col min="12136" max="12136" width="7.7109375" style="2" bestFit="1" customWidth="1"/>
    <col min="12137" max="12137" width="8.28515625" style="2" bestFit="1" customWidth="1"/>
    <col min="12138" max="12140" width="7.7109375" style="2" bestFit="1" customWidth="1"/>
    <col min="12141" max="12141" width="8.28515625" style="2" bestFit="1" customWidth="1"/>
    <col min="12142" max="12143" width="7.7109375" style="2" bestFit="1" customWidth="1"/>
    <col min="12144" max="12145" width="9.85546875" style="2" customWidth="1"/>
    <col min="12146" max="12146" width="8.5703125" style="2" customWidth="1"/>
    <col min="12147" max="12148" width="8.85546875" style="2" customWidth="1"/>
    <col min="12149" max="12149" width="9.7109375" style="2" customWidth="1"/>
    <col min="12150" max="12150" width="8.5703125" style="2" customWidth="1"/>
    <col min="12151" max="12151" width="7.7109375" style="2" bestFit="1" customWidth="1"/>
    <col min="12152" max="12152" width="7.5703125" style="2" customWidth="1"/>
    <col min="12153" max="12153" width="8.28515625" style="2" bestFit="1" customWidth="1"/>
    <col min="12154" max="12154" width="8.28515625" style="2" customWidth="1"/>
    <col min="12155" max="12155" width="7.140625" style="2" bestFit="1" customWidth="1"/>
    <col min="12156" max="12156" width="9" style="2" customWidth="1"/>
    <col min="12157" max="12157" width="9.5703125" style="2" customWidth="1"/>
    <col min="12158" max="12158" width="9.7109375" style="2" customWidth="1"/>
    <col min="12159" max="12159" width="10.85546875" style="2" customWidth="1"/>
    <col min="12160" max="12160" width="10.42578125" style="2" customWidth="1"/>
    <col min="12161" max="12162" width="11.28515625" style="2" customWidth="1"/>
    <col min="12163" max="12163" width="11" style="2" customWidth="1"/>
    <col min="12164" max="12164" width="6.7109375" style="2" customWidth="1"/>
    <col min="12165" max="12167" width="9.85546875" style="2"/>
    <col min="12168" max="12168" width="13.140625" style="2" customWidth="1"/>
    <col min="12169" max="12245" width="9.85546875" style="2"/>
    <col min="12246" max="12246" width="27.5703125" style="2" customWidth="1"/>
    <col min="12247" max="12247" width="5.28515625" style="2" customWidth="1"/>
    <col min="12248" max="12249" width="9" style="2" customWidth="1"/>
    <col min="12250" max="12250" width="9.5703125" style="2" customWidth="1"/>
    <col min="12251" max="12251" width="9.7109375" style="2" customWidth="1"/>
    <col min="12252" max="12252" width="7.5703125" style="2" customWidth="1"/>
    <col min="12253" max="12253" width="10.42578125" style="2" customWidth="1"/>
    <col min="12254" max="12254" width="9.140625" style="2" bestFit="1" customWidth="1"/>
    <col min="12255" max="12255" width="7.28515625" style="2" customWidth="1"/>
    <col min="12256" max="12257" width="9.28515625" style="2" customWidth="1"/>
    <col min="12258" max="12258" width="9.5703125" style="2" customWidth="1"/>
    <col min="12259" max="12260" width="9" style="2" customWidth="1"/>
    <col min="12261" max="12261" width="8" style="2" customWidth="1"/>
    <col min="12262" max="12262" width="8.5703125" style="2" customWidth="1"/>
    <col min="12263" max="12263" width="8.28515625" style="2" customWidth="1"/>
    <col min="12264" max="12264" width="9.5703125" style="2" customWidth="1"/>
    <col min="12265" max="12265" width="8.42578125" style="2" customWidth="1"/>
    <col min="12266" max="12266" width="8.140625" style="2" customWidth="1"/>
    <col min="12267" max="12267" width="7.5703125" style="2" customWidth="1"/>
    <col min="12268" max="12268" width="9.140625" style="2" customWidth="1"/>
    <col min="12269" max="12269" width="9" style="2" customWidth="1"/>
    <col min="12270" max="12270" width="8.5703125" style="2" customWidth="1"/>
    <col min="12271" max="12271" width="7.85546875" style="2" customWidth="1"/>
    <col min="12272" max="12272" width="6.7109375" style="2" customWidth="1"/>
    <col min="12273" max="12273" width="5.7109375" style="2" customWidth="1"/>
    <col min="12274" max="12274" width="6.28515625" style="2" customWidth="1"/>
    <col min="12275" max="12275" width="6.5703125" style="2" customWidth="1"/>
    <col min="12276" max="12276" width="8.7109375" style="2" customWidth="1"/>
    <col min="12277" max="12277" width="9" style="2" customWidth="1"/>
    <col min="12278" max="12278" width="8.28515625" style="2" customWidth="1"/>
    <col min="12279" max="12279" width="8.42578125" style="2" customWidth="1"/>
    <col min="12280" max="12280" width="9.85546875" style="2" customWidth="1"/>
    <col min="12281" max="12281" width="10" style="2" customWidth="1"/>
    <col min="12282" max="12282" width="10.140625" style="2" customWidth="1"/>
    <col min="12283" max="12283" width="10.5703125" style="2" customWidth="1"/>
    <col min="12284" max="12284" width="8.140625" style="2" customWidth="1"/>
    <col min="12285" max="12285" width="7.85546875" style="2" customWidth="1"/>
    <col min="12286" max="12286" width="9" style="2" customWidth="1"/>
    <col min="12287" max="12287" width="10" style="2" customWidth="1"/>
    <col min="12288" max="12288" width="10.28515625" style="2" customWidth="1"/>
    <col min="12289" max="12289" width="10.140625" style="2" customWidth="1"/>
    <col min="12290" max="12290" width="10.5703125" style="2" customWidth="1"/>
    <col min="12291" max="12291" width="10.28515625" style="2" customWidth="1"/>
    <col min="12292" max="12292" width="9.7109375" style="2" customWidth="1"/>
    <col min="12293" max="12293" width="9.140625" style="2" bestFit="1" customWidth="1"/>
    <col min="12294" max="12294" width="9.28515625" style="2" customWidth="1"/>
    <col min="12295" max="12295" width="9" style="2" customWidth="1"/>
    <col min="12296" max="12296" width="8" style="2" customWidth="1"/>
    <col min="12297" max="12297" width="8.28515625" style="2" customWidth="1"/>
    <col min="12298" max="12298" width="7.85546875" style="2" customWidth="1"/>
    <col min="12299" max="12299" width="9" style="2" customWidth="1"/>
    <col min="12300" max="12300" width="8.42578125" style="2" customWidth="1"/>
    <col min="12301" max="12301" width="8.28515625" style="2" bestFit="1" customWidth="1"/>
    <col min="12302" max="12303" width="9" style="2" customWidth="1"/>
    <col min="12304" max="12304" width="7.140625" style="2" customWidth="1"/>
    <col min="12305" max="12305" width="9.140625" style="2" customWidth="1"/>
    <col min="12306" max="12306" width="7.7109375" style="2" customWidth="1"/>
    <col min="12307" max="12307" width="7.5703125" style="2" customWidth="1"/>
    <col min="12308" max="12308" width="10" style="2" customWidth="1"/>
    <col min="12309" max="12310" width="10.140625" style="2" bestFit="1" customWidth="1"/>
    <col min="12311" max="12311" width="12.7109375" style="2" bestFit="1" customWidth="1"/>
    <col min="12312" max="12312" width="9.140625" style="2" customWidth="1"/>
    <col min="12313" max="12313" width="9" style="2" customWidth="1"/>
    <col min="12314" max="12314" width="8.85546875" style="2" customWidth="1"/>
    <col min="12315" max="12315" width="10.42578125" style="2" customWidth="1"/>
    <col min="12316" max="12316" width="8.7109375" style="2" customWidth="1"/>
    <col min="12317" max="12317" width="8.140625" style="2" customWidth="1"/>
    <col min="12318" max="12318" width="7.7109375" style="2" customWidth="1"/>
    <col min="12319" max="12319" width="9.7109375" style="2" customWidth="1"/>
    <col min="12320" max="12320" width="6.5703125" style="2" bestFit="1" customWidth="1"/>
    <col min="12321" max="12322" width="7.5703125" style="2" customWidth="1"/>
    <col min="12323" max="12323" width="7.7109375" style="2" customWidth="1"/>
    <col min="12324" max="12325" width="9.28515625" style="2" bestFit="1" customWidth="1"/>
    <col min="12326" max="12326" width="9.5703125" style="2" customWidth="1"/>
    <col min="12327" max="12327" width="9.140625" style="2" customWidth="1"/>
    <col min="12328" max="12329" width="7.85546875" style="2" customWidth="1"/>
    <col min="12330" max="12330" width="9.42578125" style="2" customWidth="1"/>
    <col min="12331" max="12331" width="10" style="2" customWidth="1"/>
    <col min="12332" max="12332" width="6.42578125" style="2" customWidth="1"/>
    <col min="12333" max="12333" width="9" style="2" customWidth="1"/>
    <col min="12334" max="12334" width="8.85546875" style="2" customWidth="1"/>
    <col min="12335" max="12335" width="7.7109375" style="2" customWidth="1"/>
    <col min="12336" max="12336" width="9.7109375" style="2" customWidth="1"/>
    <col min="12337" max="12337" width="9.42578125" style="2" customWidth="1"/>
    <col min="12338" max="12338" width="9.85546875" style="2" customWidth="1"/>
    <col min="12339" max="12339" width="7.7109375" style="2" customWidth="1"/>
    <col min="12340" max="12340" width="8.5703125" style="2" customWidth="1"/>
    <col min="12341" max="12341" width="9.140625" style="2" customWidth="1"/>
    <col min="12342" max="12342" width="10.140625" style="2" customWidth="1"/>
    <col min="12343" max="12343" width="10.42578125" style="2" customWidth="1"/>
    <col min="12344" max="12345" width="7.85546875" style="2" customWidth="1"/>
    <col min="12346" max="12346" width="8.28515625" style="2" customWidth="1"/>
    <col min="12347" max="12347" width="10.42578125" style="2" customWidth="1"/>
    <col min="12348" max="12349" width="7.85546875" style="2" customWidth="1"/>
    <col min="12350" max="12350" width="8.28515625" style="2" customWidth="1"/>
    <col min="12351" max="12351" width="10.42578125" style="2" customWidth="1"/>
    <col min="12352" max="12352" width="8.5703125" style="2" customWidth="1"/>
    <col min="12353" max="12353" width="8.85546875" style="2" customWidth="1"/>
    <col min="12354" max="12354" width="8.7109375" style="2" customWidth="1"/>
    <col min="12355" max="12355" width="7.140625" style="2" bestFit="1" customWidth="1"/>
    <col min="12356" max="12356" width="7.7109375" style="2" bestFit="1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8.85546875" style="2" customWidth="1"/>
    <col min="12361" max="12361" width="9.42578125" style="2" customWidth="1"/>
    <col min="12362" max="12363" width="7.7109375" style="2" bestFit="1" customWidth="1"/>
    <col min="12364" max="12364" width="8.85546875" style="2" customWidth="1"/>
    <col min="12365" max="12365" width="9.42578125" style="2" customWidth="1"/>
    <col min="12366" max="12367" width="7.7109375" style="2" bestFit="1" customWidth="1"/>
    <col min="12368" max="12368" width="9.140625" style="2" customWidth="1"/>
    <col min="12369" max="12369" width="10" style="2" customWidth="1"/>
    <col min="12370" max="12370" width="9.5703125" style="2" customWidth="1"/>
    <col min="12371" max="12371" width="9.28515625" style="2" bestFit="1" customWidth="1"/>
    <col min="12372" max="12372" width="9.28515625" style="2" customWidth="1"/>
    <col min="12373" max="12373" width="9.28515625" style="2" bestFit="1" customWidth="1"/>
    <col min="12374" max="12374" width="10.28515625" style="2" customWidth="1"/>
    <col min="12375" max="12375" width="7.7109375" style="2" bestFit="1" customWidth="1"/>
    <col min="12376" max="12376" width="8" style="2" customWidth="1"/>
    <col min="12377" max="12377" width="8.5703125" style="2" customWidth="1"/>
    <col min="12378" max="12378" width="9.7109375" style="2" customWidth="1"/>
    <col min="12379" max="12379" width="9.42578125" style="2" customWidth="1"/>
    <col min="12380" max="12380" width="9.140625" style="2" customWidth="1"/>
    <col min="12381" max="12381" width="11.42578125" style="2" customWidth="1"/>
    <col min="12382" max="12382" width="12.5703125" style="2" customWidth="1"/>
    <col min="12383" max="12383" width="10.28515625" style="2" customWidth="1"/>
    <col min="12384" max="12384" width="7.7109375" style="2" bestFit="1" customWidth="1"/>
    <col min="12385" max="12385" width="8.28515625" style="2" bestFit="1" customWidth="1"/>
    <col min="12386" max="12387" width="7.7109375" style="2" bestFit="1" customWidth="1"/>
    <col min="12388" max="12388" width="6.5703125" style="2" bestFit="1" customWidth="1"/>
    <col min="12389" max="12389" width="8.28515625" style="2" bestFit="1" customWidth="1"/>
    <col min="12390" max="12390" width="6.5703125" style="2" bestFit="1" customWidth="1"/>
    <col min="12391" max="12391" width="7.140625" style="2" bestFit="1" customWidth="1"/>
    <col min="12392" max="12392" width="7.7109375" style="2" bestFit="1" customWidth="1"/>
    <col min="12393" max="12393" width="8.28515625" style="2" bestFit="1" customWidth="1"/>
    <col min="12394" max="12396" width="7.7109375" style="2" bestFit="1" customWidth="1"/>
    <col min="12397" max="12397" width="8.28515625" style="2" bestFit="1" customWidth="1"/>
    <col min="12398" max="12399" width="7.7109375" style="2" bestFit="1" customWidth="1"/>
    <col min="12400" max="12401" width="9.85546875" style="2" customWidth="1"/>
    <col min="12402" max="12402" width="8.5703125" style="2" customWidth="1"/>
    <col min="12403" max="12404" width="8.85546875" style="2" customWidth="1"/>
    <col min="12405" max="12405" width="9.7109375" style="2" customWidth="1"/>
    <col min="12406" max="12406" width="8.5703125" style="2" customWidth="1"/>
    <col min="12407" max="12407" width="7.7109375" style="2" bestFit="1" customWidth="1"/>
    <col min="12408" max="12408" width="7.5703125" style="2" customWidth="1"/>
    <col min="12409" max="12409" width="8.28515625" style="2" bestFit="1" customWidth="1"/>
    <col min="12410" max="12410" width="8.28515625" style="2" customWidth="1"/>
    <col min="12411" max="12411" width="7.140625" style="2" bestFit="1" customWidth="1"/>
    <col min="12412" max="12412" width="9" style="2" customWidth="1"/>
    <col min="12413" max="12413" width="9.5703125" style="2" customWidth="1"/>
    <col min="12414" max="12414" width="9.7109375" style="2" customWidth="1"/>
    <col min="12415" max="12415" width="10.85546875" style="2" customWidth="1"/>
    <col min="12416" max="12416" width="10.42578125" style="2" customWidth="1"/>
    <col min="12417" max="12418" width="11.28515625" style="2" customWidth="1"/>
    <col min="12419" max="12419" width="11" style="2" customWidth="1"/>
    <col min="12420" max="12420" width="6.7109375" style="2" customWidth="1"/>
    <col min="12421" max="12423" width="9.85546875" style="2"/>
    <col min="12424" max="12424" width="13.140625" style="2" customWidth="1"/>
    <col min="12425" max="12501" width="9.85546875" style="2"/>
    <col min="12502" max="12502" width="27.5703125" style="2" customWidth="1"/>
    <col min="12503" max="12503" width="5.28515625" style="2" customWidth="1"/>
    <col min="12504" max="12505" width="9" style="2" customWidth="1"/>
    <col min="12506" max="12506" width="9.5703125" style="2" customWidth="1"/>
    <col min="12507" max="12507" width="9.7109375" style="2" customWidth="1"/>
    <col min="12508" max="12508" width="7.5703125" style="2" customWidth="1"/>
    <col min="12509" max="12509" width="10.42578125" style="2" customWidth="1"/>
    <col min="12510" max="12510" width="9.140625" style="2" bestFit="1" customWidth="1"/>
    <col min="12511" max="12511" width="7.28515625" style="2" customWidth="1"/>
    <col min="12512" max="12513" width="9.28515625" style="2" customWidth="1"/>
    <col min="12514" max="12514" width="9.5703125" style="2" customWidth="1"/>
    <col min="12515" max="12516" width="9" style="2" customWidth="1"/>
    <col min="12517" max="12517" width="8" style="2" customWidth="1"/>
    <col min="12518" max="12518" width="8.5703125" style="2" customWidth="1"/>
    <col min="12519" max="12519" width="8.28515625" style="2" customWidth="1"/>
    <col min="12520" max="12520" width="9.5703125" style="2" customWidth="1"/>
    <col min="12521" max="12521" width="8.42578125" style="2" customWidth="1"/>
    <col min="12522" max="12522" width="8.140625" style="2" customWidth="1"/>
    <col min="12523" max="12523" width="7.5703125" style="2" customWidth="1"/>
    <col min="12524" max="12524" width="9.140625" style="2" customWidth="1"/>
    <col min="12525" max="12525" width="9" style="2" customWidth="1"/>
    <col min="12526" max="12526" width="8.5703125" style="2" customWidth="1"/>
    <col min="12527" max="12527" width="7.85546875" style="2" customWidth="1"/>
    <col min="12528" max="12528" width="6.7109375" style="2" customWidth="1"/>
    <col min="12529" max="12529" width="5.7109375" style="2" customWidth="1"/>
    <col min="12530" max="12530" width="6.28515625" style="2" customWidth="1"/>
    <col min="12531" max="12531" width="6.5703125" style="2" customWidth="1"/>
    <col min="12532" max="12532" width="8.7109375" style="2" customWidth="1"/>
    <col min="12533" max="12533" width="9" style="2" customWidth="1"/>
    <col min="12534" max="12534" width="8.28515625" style="2" customWidth="1"/>
    <col min="12535" max="12535" width="8.42578125" style="2" customWidth="1"/>
    <col min="12536" max="12536" width="9.85546875" style="2" customWidth="1"/>
    <col min="12537" max="12537" width="10" style="2" customWidth="1"/>
    <col min="12538" max="12538" width="10.140625" style="2" customWidth="1"/>
    <col min="12539" max="12539" width="10.5703125" style="2" customWidth="1"/>
    <col min="12540" max="12540" width="8.140625" style="2" customWidth="1"/>
    <col min="12541" max="12541" width="7.85546875" style="2" customWidth="1"/>
    <col min="12542" max="12542" width="9" style="2" customWidth="1"/>
    <col min="12543" max="12543" width="10" style="2" customWidth="1"/>
    <col min="12544" max="12544" width="10.28515625" style="2" customWidth="1"/>
    <col min="12545" max="12545" width="10.140625" style="2" customWidth="1"/>
    <col min="12546" max="12546" width="10.5703125" style="2" customWidth="1"/>
    <col min="12547" max="12547" width="10.28515625" style="2" customWidth="1"/>
    <col min="12548" max="12548" width="9.7109375" style="2" customWidth="1"/>
    <col min="12549" max="12549" width="9.140625" style="2" bestFit="1" customWidth="1"/>
    <col min="12550" max="12550" width="9.28515625" style="2" customWidth="1"/>
    <col min="12551" max="12551" width="9" style="2" customWidth="1"/>
    <col min="12552" max="12552" width="8" style="2" customWidth="1"/>
    <col min="12553" max="12553" width="8.28515625" style="2" customWidth="1"/>
    <col min="12554" max="12554" width="7.85546875" style="2" customWidth="1"/>
    <col min="12555" max="12555" width="9" style="2" customWidth="1"/>
    <col min="12556" max="12556" width="8.42578125" style="2" customWidth="1"/>
    <col min="12557" max="12557" width="8.28515625" style="2" bestFit="1" customWidth="1"/>
    <col min="12558" max="12559" width="9" style="2" customWidth="1"/>
    <col min="12560" max="12560" width="7.140625" style="2" customWidth="1"/>
    <col min="12561" max="12561" width="9.140625" style="2" customWidth="1"/>
    <col min="12562" max="12562" width="7.7109375" style="2" customWidth="1"/>
    <col min="12563" max="12563" width="7.5703125" style="2" customWidth="1"/>
    <col min="12564" max="12564" width="10" style="2" customWidth="1"/>
    <col min="12565" max="12566" width="10.140625" style="2" bestFit="1" customWidth="1"/>
    <col min="12567" max="12567" width="12.7109375" style="2" bestFit="1" customWidth="1"/>
    <col min="12568" max="12568" width="9.140625" style="2" customWidth="1"/>
    <col min="12569" max="12569" width="9" style="2" customWidth="1"/>
    <col min="12570" max="12570" width="8.85546875" style="2" customWidth="1"/>
    <col min="12571" max="12571" width="10.42578125" style="2" customWidth="1"/>
    <col min="12572" max="12572" width="8.7109375" style="2" customWidth="1"/>
    <col min="12573" max="12573" width="8.140625" style="2" customWidth="1"/>
    <col min="12574" max="12574" width="7.7109375" style="2" customWidth="1"/>
    <col min="12575" max="12575" width="9.7109375" style="2" customWidth="1"/>
    <col min="12576" max="12576" width="6.5703125" style="2" bestFit="1" customWidth="1"/>
    <col min="12577" max="12578" width="7.5703125" style="2" customWidth="1"/>
    <col min="12579" max="12579" width="7.7109375" style="2" customWidth="1"/>
    <col min="12580" max="12581" width="9.28515625" style="2" bestFit="1" customWidth="1"/>
    <col min="12582" max="12582" width="9.5703125" style="2" customWidth="1"/>
    <col min="12583" max="12583" width="9.140625" style="2" customWidth="1"/>
    <col min="12584" max="12585" width="7.85546875" style="2" customWidth="1"/>
    <col min="12586" max="12586" width="9.42578125" style="2" customWidth="1"/>
    <col min="12587" max="12587" width="10" style="2" customWidth="1"/>
    <col min="12588" max="12588" width="6.42578125" style="2" customWidth="1"/>
    <col min="12589" max="12589" width="9" style="2" customWidth="1"/>
    <col min="12590" max="12590" width="8.85546875" style="2" customWidth="1"/>
    <col min="12591" max="12591" width="7.7109375" style="2" customWidth="1"/>
    <col min="12592" max="12592" width="9.7109375" style="2" customWidth="1"/>
    <col min="12593" max="12593" width="9.42578125" style="2" customWidth="1"/>
    <col min="12594" max="12594" width="9.85546875" style="2" customWidth="1"/>
    <col min="12595" max="12595" width="7.7109375" style="2" customWidth="1"/>
    <col min="12596" max="12596" width="8.5703125" style="2" customWidth="1"/>
    <col min="12597" max="12597" width="9.140625" style="2" customWidth="1"/>
    <col min="12598" max="12598" width="10.140625" style="2" customWidth="1"/>
    <col min="12599" max="12599" width="10.42578125" style="2" customWidth="1"/>
    <col min="12600" max="12601" width="7.85546875" style="2" customWidth="1"/>
    <col min="12602" max="12602" width="8.28515625" style="2" customWidth="1"/>
    <col min="12603" max="12603" width="10.42578125" style="2" customWidth="1"/>
    <col min="12604" max="12605" width="7.85546875" style="2" customWidth="1"/>
    <col min="12606" max="12606" width="8.28515625" style="2" customWidth="1"/>
    <col min="12607" max="12607" width="10.42578125" style="2" customWidth="1"/>
    <col min="12608" max="12608" width="8.5703125" style="2" customWidth="1"/>
    <col min="12609" max="12609" width="8.85546875" style="2" customWidth="1"/>
    <col min="12610" max="12610" width="8.7109375" style="2" customWidth="1"/>
    <col min="12611" max="12611" width="7.140625" style="2" bestFit="1" customWidth="1"/>
    <col min="12612" max="12612" width="7.7109375" style="2" bestFit="1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8.85546875" style="2" customWidth="1"/>
    <col min="12617" max="12617" width="9.42578125" style="2" customWidth="1"/>
    <col min="12618" max="12619" width="7.7109375" style="2" bestFit="1" customWidth="1"/>
    <col min="12620" max="12620" width="8.85546875" style="2" customWidth="1"/>
    <col min="12621" max="12621" width="9.42578125" style="2" customWidth="1"/>
    <col min="12622" max="12623" width="7.7109375" style="2" bestFit="1" customWidth="1"/>
    <col min="12624" max="12624" width="9.140625" style="2" customWidth="1"/>
    <col min="12625" max="12625" width="10" style="2" customWidth="1"/>
    <col min="12626" max="12626" width="9.5703125" style="2" customWidth="1"/>
    <col min="12627" max="12627" width="9.28515625" style="2" bestFit="1" customWidth="1"/>
    <col min="12628" max="12628" width="9.28515625" style="2" customWidth="1"/>
    <col min="12629" max="12629" width="9.28515625" style="2" bestFit="1" customWidth="1"/>
    <col min="12630" max="12630" width="10.28515625" style="2" customWidth="1"/>
    <col min="12631" max="12631" width="7.7109375" style="2" bestFit="1" customWidth="1"/>
    <col min="12632" max="12632" width="8" style="2" customWidth="1"/>
    <col min="12633" max="12633" width="8.5703125" style="2" customWidth="1"/>
    <col min="12634" max="12634" width="9.7109375" style="2" customWidth="1"/>
    <col min="12635" max="12635" width="9.42578125" style="2" customWidth="1"/>
    <col min="12636" max="12636" width="9.140625" style="2" customWidth="1"/>
    <col min="12637" max="12637" width="11.42578125" style="2" customWidth="1"/>
    <col min="12638" max="12638" width="12.5703125" style="2" customWidth="1"/>
    <col min="12639" max="12639" width="10.28515625" style="2" customWidth="1"/>
    <col min="12640" max="12640" width="7.7109375" style="2" bestFit="1" customWidth="1"/>
    <col min="12641" max="12641" width="8.28515625" style="2" bestFit="1" customWidth="1"/>
    <col min="12642" max="12643" width="7.7109375" style="2" bestFit="1" customWidth="1"/>
    <col min="12644" max="12644" width="6.5703125" style="2" bestFit="1" customWidth="1"/>
    <col min="12645" max="12645" width="8.28515625" style="2" bestFit="1" customWidth="1"/>
    <col min="12646" max="12646" width="6.5703125" style="2" bestFit="1" customWidth="1"/>
    <col min="12647" max="12647" width="7.140625" style="2" bestFit="1" customWidth="1"/>
    <col min="12648" max="12648" width="7.7109375" style="2" bestFit="1" customWidth="1"/>
    <col min="12649" max="12649" width="8.28515625" style="2" bestFit="1" customWidth="1"/>
    <col min="12650" max="12652" width="7.7109375" style="2" bestFit="1" customWidth="1"/>
    <col min="12653" max="12653" width="8.28515625" style="2" bestFit="1" customWidth="1"/>
    <col min="12654" max="12655" width="7.7109375" style="2" bestFit="1" customWidth="1"/>
    <col min="12656" max="12657" width="9.85546875" style="2" customWidth="1"/>
    <col min="12658" max="12658" width="8.5703125" style="2" customWidth="1"/>
    <col min="12659" max="12660" width="8.85546875" style="2" customWidth="1"/>
    <col min="12661" max="12661" width="9.7109375" style="2" customWidth="1"/>
    <col min="12662" max="12662" width="8.5703125" style="2" customWidth="1"/>
    <col min="12663" max="12663" width="7.7109375" style="2" bestFit="1" customWidth="1"/>
    <col min="12664" max="12664" width="7.5703125" style="2" customWidth="1"/>
    <col min="12665" max="12665" width="8.28515625" style="2" bestFit="1" customWidth="1"/>
    <col min="12666" max="12666" width="8.28515625" style="2" customWidth="1"/>
    <col min="12667" max="12667" width="7.140625" style="2" bestFit="1" customWidth="1"/>
    <col min="12668" max="12668" width="9" style="2" customWidth="1"/>
    <col min="12669" max="12669" width="9.5703125" style="2" customWidth="1"/>
    <col min="12670" max="12670" width="9.7109375" style="2" customWidth="1"/>
    <col min="12671" max="12671" width="10.85546875" style="2" customWidth="1"/>
    <col min="12672" max="12672" width="10.42578125" style="2" customWidth="1"/>
    <col min="12673" max="12674" width="11.28515625" style="2" customWidth="1"/>
    <col min="12675" max="12675" width="11" style="2" customWidth="1"/>
    <col min="12676" max="12676" width="6.7109375" style="2" customWidth="1"/>
    <col min="12677" max="12679" width="9.85546875" style="2"/>
    <col min="12680" max="12680" width="13.140625" style="2" customWidth="1"/>
    <col min="12681" max="12757" width="9.85546875" style="2"/>
    <col min="12758" max="12758" width="27.5703125" style="2" customWidth="1"/>
    <col min="12759" max="12759" width="5.28515625" style="2" customWidth="1"/>
    <col min="12760" max="12761" width="9" style="2" customWidth="1"/>
    <col min="12762" max="12762" width="9.5703125" style="2" customWidth="1"/>
    <col min="12763" max="12763" width="9.7109375" style="2" customWidth="1"/>
    <col min="12764" max="12764" width="7.5703125" style="2" customWidth="1"/>
    <col min="12765" max="12765" width="10.42578125" style="2" customWidth="1"/>
    <col min="12766" max="12766" width="9.140625" style="2" bestFit="1" customWidth="1"/>
    <col min="12767" max="12767" width="7.28515625" style="2" customWidth="1"/>
    <col min="12768" max="12769" width="9.28515625" style="2" customWidth="1"/>
    <col min="12770" max="12770" width="9.5703125" style="2" customWidth="1"/>
    <col min="12771" max="12772" width="9" style="2" customWidth="1"/>
    <col min="12773" max="12773" width="8" style="2" customWidth="1"/>
    <col min="12774" max="12774" width="8.5703125" style="2" customWidth="1"/>
    <col min="12775" max="12775" width="8.28515625" style="2" customWidth="1"/>
    <col min="12776" max="12776" width="9.5703125" style="2" customWidth="1"/>
    <col min="12777" max="12777" width="8.42578125" style="2" customWidth="1"/>
    <col min="12778" max="12778" width="8.140625" style="2" customWidth="1"/>
    <col min="12779" max="12779" width="7.5703125" style="2" customWidth="1"/>
    <col min="12780" max="12780" width="9.140625" style="2" customWidth="1"/>
    <col min="12781" max="12781" width="9" style="2" customWidth="1"/>
    <col min="12782" max="12782" width="8.5703125" style="2" customWidth="1"/>
    <col min="12783" max="12783" width="7.85546875" style="2" customWidth="1"/>
    <col min="12784" max="12784" width="6.7109375" style="2" customWidth="1"/>
    <col min="12785" max="12785" width="5.7109375" style="2" customWidth="1"/>
    <col min="12786" max="12786" width="6.28515625" style="2" customWidth="1"/>
    <col min="12787" max="12787" width="6.5703125" style="2" customWidth="1"/>
    <col min="12788" max="12788" width="8.7109375" style="2" customWidth="1"/>
    <col min="12789" max="12789" width="9" style="2" customWidth="1"/>
    <col min="12790" max="12790" width="8.28515625" style="2" customWidth="1"/>
    <col min="12791" max="12791" width="8.42578125" style="2" customWidth="1"/>
    <col min="12792" max="12792" width="9.85546875" style="2" customWidth="1"/>
    <col min="12793" max="12793" width="10" style="2" customWidth="1"/>
    <col min="12794" max="12794" width="10.140625" style="2" customWidth="1"/>
    <col min="12795" max="12795" width="10.5703125" style="2" customWidth="1"/>
    <col min="12796" max="12796" width="8.140625" style="2" customWidth="1"/>
    <col min="12797" max="12797" width="7.85546875" style="2" customWidth="1"/>
    <col min="12798" max="12798" width="9" style="2" customWidth="1"/>
    <col min="12799" max="12799" width="10" style="2" customWidth="1"/>
    <col min="12800" max="12800" width="10.28515625" style="2" customWidth="1"/>
    <col min="12801" max="12801" width="10.140625" style="2" customWidth="1"/>
    <col min="12802" max="12802" width="10.5703125" style="2" customWidth="1"/>
    <col min="12803" max="12803" width="10.28515625" style="2" customWidth="1"/>
    <col min="12804" max="12804" width="9.7109375" style="2" customWidth="1"/>
    <col min="12805" max="12805" width="9.140625" style="2" bestFit="1" customWidth="1"/>
    <col min="12806" max="12806" width="9.28515625" style="2" customWidth="1"/>
    <col min="12807" max="12807" width="9" style="2" customWidth="1"/>
    <col min="12808" max="12808" width="8" style="2" customWidth="1"/>
    <col min="12809" max="12809" width="8.28515625" style="2" customWidth="1"/>
    <col min="12810" max="12810" width="7.85546875" style="2" customWidth="1"/>
    <col min="12811" max="12811" width="9" style="2" customWidth="1"/>
    <col min="12812" max="12812" width="8.42578125" style="2" customWidth="1"/>
    <col min="12813" max="12813" width="8.28515625" style="2" bestFit="1" customWidth="1"/>
    <col min="12814" max="12815" width="9" style="2" customWidth="1"/>
    <col min="12816" max="12816" width="7.140625" style="2" customWidth="1"/>
    <col min="12817" max="12817" width="9.140625" style="2" customWidth="1"/>
    <col min="12818" max="12818" width="7.7109375" style="2" customWidth="1"/>
    <col min="12819" max="12819" width="7.5703125" style="2" customWidth="1"/>
    <col min="12820" max="12820" width="10" style="2" customWidth="1"/>
    <col min="12821" max="12822" width="10.140625" style="2" bestFit="1" customWidth="1"/>
    <col min="12823" max="12823" width="12.7109375" style="2" bestFit="1" customWidth="1"/>
    <col min="12824" max="12824" width="9.140625" style="2" customWidth="1"/>
    <col min="12825" max="12825" width="9" style="2" customWidth="1"/>
    <col min="12826" max="12826" width="8.85546875" style="2" customWidth="1"/>
    <col min="12827" max="12827" width="10.42578125" style="2" customWidth="1"/>
    <col min="12828" max="12828" width="8.7109375" style="2" customWidth="1"/>
    <col min="12829" max="12829" width="8.140625" style="2" customWidth="1"/>
    <col min="12830" max="12830" width="7.7109375" style="2" customWidth="1"/>
    <col min="12831" max="12831" width="9.7109375" style="2" customWidth="1"/>
    <col min="12832" max="12832" width="6.5703125" style="2" bestFit="1" customWidth="1"/>
    <col min="12833" max="12834" width="7.5703125" style="2" customWidth="1"/>
    <col min="12835" max="12835" width="7.7109375" style="2" customWidth="1"/>
    <col min="12836" max="12837" width="9.28515625" style="2" bestFit="1" customWidth="1"/>
    <col min="12838" max="12838" width="9.5703125" style="2" customWidth="1"/>
    <col min="12839" max="12839" width="9.140625" style="2" customWidth="1"/>
    <col min="12840" max="12841" width="7.85546875" style="2" customWidth="1"/>
    <col min="12842" max="12842" width="9.42578125" style="2" customWidth="1"/>
    <col min="12843" max="12843" width="10" style="2" customWidth="1"/>
    <col min="12844" max="12844" width="6.42578125" style="2" customWidth="1"/>
    <col min="12845" max="12845" width="9" style="2" customWidth="1"/>
    <col min="12846" max="12846" width="8.85546875" style="2" customWidth="1"/>
    <col min="12847" max="12847" width="7.7109375" style="2" customWidth="1"/>
    <col min="12848" max="12848" width="9.7109375" style="2" customWidth="1"/>
    <col min="12849" max="12849" width="9.42578125" style="2" customWidth="1"/>
    <col min="12850" max="12850" width="9.85546875" style="2" customWidth="1"/>
    <col min="12851" max="12851" width="7.7109375" style="2" customWidth="1"/>
    <col min="12852" max="12852" width="8.5703125" style="2" customWidth="1"/>
    <col min="12853" max="12853" width="9.140625" style="2" customWidth="1"/>
    <col min="12854" max="12854" width="10.140625" style="2" customWidth="1"/>
    <col min="12855" max="12855" width="10.42578125" style="2" customWidth="1"/>
    <col min="12856" max="12857" width="7.85546875" style="2" customWidth="1"/>
    <col min="12858" max="12858" width="8.28515625" style="2" customWidth="1"/>
    <col min="12859" max="12859" width="10.42578125" style="2" customWidth="1"/>
    <col min="12860" max="12861" width="7.85546875" style="2" customWidth="1"/>
    <col min="12862" max="12862" width="8.28515625" style="2" customWidth="1"/>
    <col min="12863" max="12863" width="10.42578125" style="2" customWidth="1"/>
    <col min="12864" max="12864" width="8.5703125" style="2" customWidth="1"/>
    <col min="12865" max="12865" width="8.85546875" style="2" customWidth="1"/>
    <col min="12866" max="12866" width="8.7109375" style="2" customWidth="1"/>
    <col min="12867" max="12867" width="7.140625" style="2" bestFit="1" customWidth="1"/>
    <col min="12868" max="12868" width="7.7109375" style="2" bestFit="1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8.85546875" style="2" customWidth="1"/>
    <col min="12873" max="12873" width="9.42578125" style="2" customWidth="1"/>
    <col min="12874" max="12875" width="7.7109375" style="2" bestFit="1" customWidth="1"/>
    <col min="12876" max="12876" width="8.85546875" style="2" customWidth="1"/>
    <col min="12877" max="12877" width="9.42578125" style="2" customWidth="1"/>
    <col min="12878" max="12879" width="7.7109375" style="2" bestFit="1" customWidth="1"/>
    <col min="12880" max="12880" width="9.140625" style="2" customWidth="1"/>
    <col min="12881" max="12881" width="10" style="2" customWidth="1"/>
    <col min="12882" max="12882" width="9.5703125" style="2" customWidth="1"/>
    <col min="12883" max="12883" width="9.28515625" style="2" bestFit="1" customWidth="1"/>
    <col min="12884" max="12884" width="9.28515625" style="2" customWidth="1"/>
    <col min="12885" max="12885" width="9.28515625" style="2" bestFit="1" customWidth="1"/>
    <col min="12886" max="12886" width="10.28515625" style="2" customWidth="1"/>
    <col min="12887" max="12887" width="7.7109375" style="2" bestFit="1" customWidth="1"/>
    <col min="12888" max="12888" width="8" style="2" customWidth="1"/>
    <col min="12889" max="12889" width="8.5703125" style="2" customWidth="1"/>
    <col min="12890" max="12890" width="9.7109375" style="2" customWidth="1"/>
    <col min="12891" max="12891" width="9.42578125" style="2" customWidth="1"/>
    <col min="12892" max="12892" width="9.140625" style="2" customWidth="1"/>
    <col min="12893" max="12893" width="11.42578125" style="2" customWidth="1"/>
    <col min="12894" max="12894" width="12.5703125" style="2" customWidth="1"/>
    <col min="12895" max="12895" width="10.28515625" style="2" customWidth="1"/>
    <col min="12896" max="12896" width="7.7109375" style="2" bestFit="1" customWidth="1"/>
    <col min="12897" max="12897" width="8.28515625" style="2" bestFit="1" customWidth="1"/>
    <col min="12898" max="12899" width="7.7109375" style="2" bestFit="1" customWidth="1"/>
    <col min="12900" max="12900" width="6.5703125" style="2" bestFit="1" customWidth="1"/>
    <col min="12901" max="12901" width="8.28515625" style="2" bestFit="1" customWidth="1"/>
    <col min="12902" max="12902" width="6.5703125" style="2" bestFit="1" customWidth="1"/>
    <col min="12903" max="12903" width="7.140625" style="2" bestFit="1" customWidth="1"/>
    <col min="12904" max="12904" width="7.7109375" style="2" bestFit="1" customWidth="1"/>
    <col min="12905" max="12905" width="8.28515625" style="2" bestFit="1" customWidth="1"/>
    <col min="12906" max="12908" width="7.7109375" style="2" bestFit="1" customWidth="1"/>
    <col min="12909" max="12909" width="8.28515625" style="2" bestFit="1" customWidth="1"/>
    <col min="12910" max="12911" width="7.7109375" style="2" bestFit="1" customWidth="1"/>
    <col min="12912" max="12913" width="9.85546875" style="2" customWidth="1"/>
    <col min="12914" max="12914" width="8.5703125" style="2" customWidth="1"/>
    <col min="12915" max="12916" width="8.85546875" style="2" customWidth="1"/>
    <col min="12917" max="12917" width="9.7109375" style="2" customWidth="1"/>
    <col min="12918" max="12918" width="8.5703125" style="2" customWidth="1"/>
    <col min="12919" max="12919" width="7.7109375" style="2" bestFit="1" customWidth="1"/>
    <col min="12920" max="12920" width="7.5703125" style="2" customWidth="1"/>
    <col min="12921" max="12921" width="8.28515625" style="2" bestFit="1" customWidth="1"/>
    <col min="12922" max="12922" width="8.28515625" style="2" customWidth="1"/>
    <col min="12923" max="12923" width="7.140625" style="2" bestFit="1" customWidth="1"/>
    <col min="12924" max="12924" width="9" style="2" customWidth="1"/>
    <col min="12925" max="12925" width="9.5703125" style="2" customWidth="1"/>
    <col min="12926" max="12926" width="9.7109375" style="2" customWidth="1"/>
    <col min="12927" max="12927" width="10.85546875" style="2" customWidth="1"/>
    <col min="12928" max="12928" width="10.42578125" style="2" customWidth="1"/>
    <col min="12929" max="12930" width="11.28515625" style="2" customWidth="1"/>
    <col min="12931" max="12931" width="11" style="2" customWidth="1"/>
    <col min="12932" max="12932" width="6.7109375" style="2" customWidth="1"/>
    <col min="12933" max="12935" width="9.85546875" style="2"/>
    <col min="12936" max="12936" width="13.140625" style="2" customWidth="1"/>
    <col min="12937" max="13013" width="9.85546875" style="2"/>
    <col min="13014" max="13014" width="27.5703125" style="2" customWidth="1"/>
    <col min="13015" max="13015" width="5.28515625" style="2" customWidth="1"/>
    <col min="13016" max="13017" width="9" style="2" customWidth="1"/>
    <col min="13018" max="13018" width="9.5703125" style="2" customWidth="1"/>
    <col min="13019" max="13019" width="9.7109375" style="2" customWidth="1"/>
    <col min="13020" max="13020" width="7.5703125" style="2" customWidth="1"/>
    <col min="13021" max="13021" width="10.42578125" style="2" customWidth="1"/>
    <col min="13022" max="13022" width="9.140625" style="2" bestFit="1" customWidth="1"/>
    <col min="13023" max="13023" width="7.28515625" style="2" customWidth="1"/>
    <col min="13024" max="13025" width="9.28515625" style="2" customWidth="1"/>
    <col min="13026" max="13026" width="9.5703125" style="2" customWidth="1"/>
    <col min="13027" max="13028" width="9" style="2" customWidth="1"/>
    <col min="13029" max="13029" width="8" style="2" customWidth="1"/>
    <col min="13030" max="13030" width="8.5703125" style="2" customWidth="1"/>
    <col min="13031" max="13031" width="8.28515625" style="2" customWidth="1"/>
    <col min="13032" max="13032" width="9.5703125" style="2" customWidth="1"/>
    <col min="13033" max="13033" width="8.42578125" style="2" customWidth="1"/>
    <col min="13034" max="13034" width="8.140625" style="2" customWidth="1"/>
    <col min="13035" max="13035" width="7.5703125" style="2" customWidth="1"/>
    <col min="13036" max="13036" width="9.140625" style="2" customWidth="1"/>
    <col min="13037" max="13037" width="9" style="2" customWidth="1"/>
    <col min="13038" max="13038" width="8.5703125" style="2" customWidth="1"/>
    <col min="13039" max="13039" width="7.85546875" style="2" customWidth="1"/>
    <col min="13040" max="13040" width="6.7109375" style="2" customWidth="1"/>
    <col min="13041" max="13041" width="5.7109375" style="2" customWidth="1"/>
    <col min="13042" max="13042" width="6.28515625" style="2" customWidth="1"/>
    <col min="13043" max="13043" width="6.5703125" style="2" customWidth="1"/>
    <col min="13044" max="13044" width="8.7109375" style="2" customWidth="1"/>
    <col min="13045" max="13045" width="9" style="2" customWidth="1"/>
    <col min="13046" max="13046" width="8.28515625" style="2" customWidth="1"/>
    <col min="13047" max="13047" width="8.42578125" style="2" customWidth="1"/>
    <col min="13048" max="13048" width="9.85546875" style="2" customWidth="1"/>
    <col min="13049" max="13049" width="10" style="2" customWidth="1"/>
    <col min="13050" max="13050" width="10.140625" style="2" customWidth="1"/>
    <col min="13051" max="13051" width="10.5703125" style="2" customWidth="1"/>
    <col min="13052" max="13052" width="8.140625" style="2" customWidth="1"/>
    <col min="13053" max="13053" width="7.85546875" style="2" customWidth="1"/>
    <col min="13054" max="13054" width="9" style="2" customWidth="1"/>
    <col min="13055" max="13055" width="10" style="2" customWidth="1"/>
    <col min="13056" max="13056" width="10.28515625" style="2" customWidth="1"/>
    <col min="13057" max="13057" width="10.140625" style="2" customWidth="1"/>
    <col min="13058" max="13058" width="10.5703125" style="2" customWidth="1"/>
    <col min="13059" max="13059" width="10.28515625" style="2" customWidth="1"/>
    <col min="13060" max="13060" width="9.7109375" style="2" customWidth="1"/>
    <col min="13061" max="13061" width="9.140625" style="2" bestFit="1" customWidth="1"/>
    <col min="13062" max="13062" width="9.28515625" style="2" customWidth="1"/>
    <col min="13063" max="13063" width="9" style="2" customWidth="1"/>
    <col min="13064" max="13064" width="8" style="2" customWidth="1"/>
    <col min="13065" max="13065" width="8.28515625" style="2" customWidth="1"/>
    <col min="13066" max="13066" width="7.85546875" style="2" customWidth="1"/>
    <col min="13067" max="13067" width="9" style="2" customWidth="1"/>
    <col min="13068" max="13068" width="8.42578125" style="2" customWidth="1"/>
    <col min="13069" max="13069" width="8.28515625" style="2" bestFit="1" customWidth="1"/>
    <col min="13070" max="13071" width="9" style="2" customWidth="1"/>
    <col min="13072" max="13072" width="7.140625" style="2" customWidth="1"/>
    <col min="13073" max="13073" width="9.140625" style="2" customWidth="1"/>
    <col min="13074" max="13074" width="7.7109375" style="2" customWidth="1"/>
    <col min="13075" max="13075" width="7.5703125" style="2" customWidth="1"/>
    <col min="13076" max="13076" width="10" style="2" customWidth="1"/>
    <col min="13077" max="13078" width="10.140625" style="2" bestFit="1" customWidth="1"/>
    <col min="13079" max="13079" width="12.7109375" style="2" bestFit="1" customWidth="1"/>
    <col min="13080" max="13080" width="9.140625" style="2" customWidth="1"/>
    <col min="13081" max="13081" width="9" style="2" customWidth="1"/>
    <col min="13082" max="13082" width="8.85546875" style="2" customWidth="1"/>
    <col min="13083" max="13083" width="10.42578125" style="2" customWidth="1"/>
    <col min="13084" max="13084" width="8.7109375" style="2" customWidth="1"/>
    <col min="13085" max="13085" width="8.140625" style="2" customWidth="1"/>
    <col min="13086" max="13086" width="7.7109375" style="2" customWidth="1"/>
    <col min="13087" max="13087" width="9.7109375" style="2" customWidth="1"/>
    <col min="13088" max="13088" width="6.5703125" style="2" bestFit="1" customWidth="1"/>
    <col min="13089" max="13090" width="7.5703125" style="2" customWidth="1"/>
    <col min="13091" max="13091" width="7.7109375" style="2" customWidth="1"/>
    <col min="13092" max="13093" width="9.28515625" style="2" bestFit="1" customWidth="1"/>
    <col min="13094" max="13094" width="9.5703125" style="2" customWidth="1"/>
    <col min="13095" max="13095" width="9.140625" style="2" customWidth="1"/>
    <col min="13096" max="13097" width="7.85546875" style="2" customWidth="1"/>
    <col min="13098" max="13098" width="9.42578125" style="2" customWidth="1"/>
    <col min="13099" max="13099" width="10" style="2" customWidth="1"/>
    <col min="13100" max="13100" width="6.42578125" style="2" customWidth="1"/>
    <col min="13101" max="13101" width="9" style="2" customWidth="1"/>
    <col min="13102" max="13102" width="8.85546875" style="2" customWidth="1"/>
    <col min="13103" max="13103" width="7.7109375" style="2" customWidth="1"/>
    <col min="13104" max="13104" width="9.7109375" style="2" customWidth="1"/>
    <col min="13105" max="13105" width="9.42578125" style="2" customWidth="1"/>
    <col min="13106" max="13106" width="9.85546875" style="2" customWidth="1"/>
    <col min="13107" max="13107" width="7.7109375" style="2" customWidth="1"/>
    <col min="13108" max="13108" width="8.5703125" style="2" customWidth="1"/>
    <col min="13109" max="13109" width="9.140625" style="2" customWidth="1"/>
    <col min="13110" max="13110" width="10.140625" style="2" customWidth="1"/>
    <col min="13111" max="13111" width="10.42578125" style="2" customWidth="1"/>
    <col min="13112" max="13113" width="7.85546875" style="2" customWidth="1"/>
    <col min="13114" max="13114" width="8.28515625" style="2" customWidth="1"/>
    <col min="13115" max="13115" width="10.42578125" style="2" customWidth="1"/>
    <col min="13116" max="13117" width="7.85546875" style="2" customWidth="1"/>
    <col min="13118" max="13118" width="8.28515625" style="2" customWidth="1"/>
    <col min="13119" max="13119" width="10.42578125" style="2" customWidth="1"/>
    <col min="13120" max="13120" width="8.5703125" style="2" customWidth="1"/>
    <col min="13121" max="13121" width="8.85546875" style="2" customWidth="1"/>
    <col min="13122" max="13122" width="8.7109375" style="2" customWidth="1"/>
    <col min="13123" max="13123" width="7.140625" style="2" bestFit="1" customWidth="1"/>
    <col min="13124" max="13124" width="7.7109375" style="2" bestFit="1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8.85546875" style="2" customWidth="1"/>
    <col min="13129" max="13129" width="9.42578125" style="2" customWidth="1"/>
    <col min="13130" max="13131" width="7.7109375" style="2" bestFit="1" customWidth="1"/>
    <col min="13132" max="13132" width="8.85546875" style="2" customWidth="1"/>
    <col min="13133" max="13133" width="9.42578125" style="2" customWidth="1"/>
    <col min="13134" max="13135" width="7.7109375" style="2" bestFit="1" customWidth="1"/>
    <col min="13136" max="13136" width="9.140625" style="2" customWidth="1"/>
    <col min="13137" max="13137" width="10" style="2" customWidth="1"/>
    <col min="13138" max="13138" width="9.5703125" style="2" customWidth="1"/>
    <col min="13139" max="13139" width="9.28515625" style="2" bestFit="1" customWidth="1"/>
    <col min="13140" max="13140" width="9.28515625" style="2" customWidth="1"/>
    <col min="13141" max="13141" width="9.28515625" style="2" bestFit="1" customWidth="1"/>
    <col min="13142" max="13142" width="10.28515625" style="2" customWidth="1"/>
    <col min="13143" max="13143" width="7.7109375" style="2" bestFit="1" customWidth="1"/>
    <col min="13144" max="13144" width="8" style="2" customWidth="1"/>
    <col min="13145" max="13145" width="8.5703125" style="2" customWidth="1"/>
    <col min="13146" max="13146" width="9.7109375" style="2" customWidth="1"/>
    <col min="13147" max="13147" width="9.42578125" style="2" customWidth="1"/>
    <col min="13148" max="13148" width="9.140625" style="2" customWidth="1"/>
    <col min="13149" max="13149" width="11.42578125" style="2" customWidth="1"/>
    <col min="13150" max="13150" width="12.5703125" style="2" customWidth="1"/>
    <col min="13151" max="13151" width="10.28515625" style="2" customWidth="1"/>
    <col min="13152" max="13152" width="7.7109375" style="2" bestFit="1" customWidth="1"/>
    <col min="13153" max="13153" width="8.28515625" style="2" bestFit="1" customWidth="1"/>
    <col min="13154" max="13155" width="7.7109375" style="2" bestFit="1" customWidth="1"/>
    <col min="13156" max="13156" width="6.5703125" style="2" bestFit="1" customWidth="1"/>
    <col min="13157" max="13157" width="8.28515625" style="2" bestFit="1" customWidth="1"/>
    <col min="13158" max="13158" width="6.5703125" style="2" bestFit="1" customWidth="1"/>
    <col min="13159" max="13159" width="7.140625" style="2" bestFit="1" customWidth="1"/>
    <col min="13160" max="13160" width="7.7109375" style="2" bestFit="1" customWidth="1"/>
    <col min="13161" max="13161" width="8.28515625" style="2" bestFit="1" customWidth="1"/>
    <col min="13162" max="13164" width="7.7109375" style="2" bestFit="1" customWidth="1"/>
    <col min="13165" max="13165" width="8.28515625" style="2" bestFit="1" customWidth="1"/>
    <col min="13166" max="13167" width="7.7109375" style="2" bestFit="1" customWidth="1"/>
    <col min="13168" max="13169" width="9.85546875" style="2" customWidth="1"/>
    <col min="13170" max="13170" width="8.5703125" style="2" customWidth="1"/>
    <col min="13171" max="13172" width="8.85546875" style="2" customWidth="1"/>
    <col min="13173" max="13173" width="9.7109375" style="2" customWidth="1"/>
    <col min="13174" max="13174" width="8.5703125" style="2" customWidth="1"/>
    <col min="13175" max="13175" width="7.7109375" style="2" bestFit="1" customWidth="1"/>
    <col min="13176" max="13176" width="7.5703125" style="2" customWidth="1"/>
    <col min="13177" max="13177" width="8.28515625" style="2" bestFit="1" customWidth="1"/>
    <col min="13178" max="13178" width="8.28515625" style="2" customWidth="1"/>
    <col min="13179" max="13179" width="7.140625" style="2" bestFit="1" customWidth="1"/>
    <col min="13180" max="13180" width="9" style="2" customWidth="1"/>
    <col min="13181" max="13181" width="9.5703125" style="2" customWidth="1"/>
    <col min="13182" max="13182" width="9.7109375" style="2" customWidth="1"/>
    <col min="13183" max="13183" width="10.85546875" style="2" customWidth="1"/>
    <col min="13184" max="13184" width="10.42578125" style="2" customWidth="1"/>
    <col min="13185" max="13186" width="11.28515625" style="2" customWidth="1"/>
    <col min="13187" max="13187" width="11" style="2" customWidth="1"/>
    <col min="13188" max="13188" width="6.7109375" style="2" customWidth="1"/>
    <col min="13189" max="13191" width="9.85546875" style="2"/>
    <col min="13192" max="13192" width="13.140625" style="2" customWidth="1"/>
    <col min="13193" max="13269" width="9.85546875" style="2"/>
    <col min="13270" max="13270" width="27.5703125" style="2" customWidth="1"/>
    <col min="13271" max="13271" width="5.28515625" style="2" customWidth="1"/>
    <col min="13272" max="13273" width="9" style="2" customWidth="1"/>
    <col min="13274" max="13274" width="9.5703125" style="2" customWidth="1"/>
    <col min="13275" max="13275" width="9.7109375" style="2" customWidth="1"/>
    <col min="13276" max="13276" width="7.5703125" style="2" customWidth="1"/>
    <col min="13277" max="13277" width="10.42578125" style="2" customWidth="1"/>
    <col min="13278" max="13278" width="9.140625" style="2" bestFit="1" customWidth="1"/>
    <col min="13279" max="13279" width="7.28515625" style="2" customWidth="1"/>
    <col min="13280" max="13281" width="9.28515625" style="2" customWidth="1"/>
    <col min="13282" max="13282" width="9.5703125" style="2" customWidth="1"/>
    <col min="13283" max="13284" width="9" style="2" customWidth="1"/>
    <col min="13285" max="13285" width="8" style="2" customWidth="1"/>
    <col min="13286" max="13286" width="8.5703125" style="2" customWidth="1"/>
    <col min="13287" max="13287" width="8.28515625" style="2" customWidth="1"/>
    <col min="13288" max="13288" width="9.5703125" style="2" customWidth="1"/>
    <col min="13289" max="13289" width="8.42578125" style="2" customWidth="1"/>
    <col min="13290" max="13290" width="8.140625" style="2" customWidth="1"/>
    <col min="13291" max="13291" width="7.5703125" style="2" customWidth="1"/>
    <col min="13292" max="13292" width="9.140625" style="2" customWidth="1"/>
    <col min="13293" max="13293" width="9" style="2" customWidth="1"/>
    <col min="13294" max="13294" width="8.5703125" style="2" customWidth="1"/>
    <col min="13295" max="13295" width="7.85546875" style="2" customWidth="1"/>
    <col min="13296" max="13296" width="6.7109375" style="2" customWidth="1"/>
    <col min="13297" max="13297" width="5.7109375" style="2" customWidth="1"/>
    <col min="13298" max="13298" width="6.28515625" style="2" customWidth="1"/>
    <col min="13299" max="13299" width="6.5703125" style="2" customWidth="1"/>
    <col min="13300" max="13300" width="8.7109375" style="2" customWidth="1"/>
    <col min="13301" max="13301" width="9" style="2" customWidth="1"/>
    <col min="13302" max="13302" width="8.28515625" style="2" customWidth="1"/>
    <col min="13303" max="13303" width="8.42578125" style="2" customWidth="1"/>
    <col min="13304" max="13304" width="9.85546875" style="2" customWidth="1"/>
    <col min="13305" max="13305" width="10" style="2" customWidth="1"/>
    <col min="13306" max="13306" width="10.140625" style="2" customWidth="1"/>
    <col min="13307" max="13307" width="10.5703125" style="2" customWidth="1"/>
    <col min="13308" max="13308" width="8.140625" style="2" customWidth="1"/>
    <col min="13309" max="13309" width="7.85546875" style="2" customWidth="1"/>
    <col min="13310" max="13310" width="9" style="2" customWidth="1"/>
    <col min="13311" max="13311" width="10" style="2" customWidth="1"/>
    <col min="13312" max="13312" width="10.28515625" style="2" customWidth="1"/>
    <col min="13313" max="13313" width="10.140625" style="2" customWidth="1"/>
    <col min="13314" max="13314" width="10.5703125" style="2" customWidth="1"/>
    <col min="13315" max="13315" width="10.28515625" style="2" customWidth="1"/>
    <col min="13316" max="13316" width="9.7109375" style="2" customWidth="1"/>
    <col min="13317" max="13317" width="9.140625" style="2" bestFit="1" customWidth="1"/>
    <col min="13318" max="13318" width="9.28515625" style="2" customWidth="1"/>
    <col min="13319" max="13319" width="9" style="2" customWidth="1"/>
    <col min="13320" max="13320" width="8" style="2" customWidth="1"/>
    <col min="13321" max="13321" width="8.28515625" style="2" customWidth="1"/>
    <col min="13322" max="13322" width="7.85546875" style="2" customWidth="1"/>
    <col min="13323" max="13323" width="9" style="2" customWidth="1"/>
    <col min="13324" max="13324" width="8.42578125" style="2" customWidth="1"/>
    <col min="13325" max="13325" width="8.28515625" style="2" bestFit="1" customWidth="1"/>
    <col min="13326" max="13327" width="9" style="2" customWidth="1"/>
    <col min="13328" max="13328" width="7.140625" style="2" customWidth="1"/>
    <col min="13329" max="13329" width="9.140625" style="2" customWidth="1"/>
    <col min="13330" max="13330" width="7.7109375" style="2" customWidth="1"/>
    <col min="13331" max="13331" width="7.5703125" style="2" customWidth="1"/>
    <col min="13332" max="13332" width="10" style="2" customWidth="1"/>
    <col min="13333" max="13334" width="10.140625" style="2" bestFit="1" customWidth="1"/>
    <col min="13335" max="13335" width="12.7109375" style="2" bestFit="1" customWidth="1"/>
    <col min="13336" max="13336" width="9.140625" style="2" customWidth="1"/>
    <col min="13337" max="13337" width="9" style="2" customWidth="1"/>
    <col min="13338" max="13338" width="8.85546875" style="2" customWidth="1"/>
    <col min="13339" max="13339" width="10.42578125" style="2" customWidth="1"/>
    <col min="13340" max="13340" width="8.7109375" style="2" customWidth="1"/>
    <col min="13341" max="13341" width="8.140625" style="2" customWidth="1"/>
    <col min="13342" max="13342" width="7.7109375" style="2" customWidth="1"/>
    <col min="13343" max="13343" width="9.7109375" style="2" customWidth="1"/>
    <col min="13344" max="13344" width="6.5703125" style="2" bestFit="1" customWidth="1"/>
    <col min="13345" max="13346" width="7.5703125" style="2" customWidth="1"/>
    <col min="13347" max="13347" width="7.7109375" style="2" customWidth="1"/>
    <col min="13348" max="13349" width="9.28515625" style="2" bestFit="1" customWidth="1"/>
    <col min="13350" max="13350" width="9.5703125" style="2" customWidth="1"/>
    <col min="13351" max="13351" width="9.140625" style="2" customWidth="1"/>
    <col min="13352" max="13353" width="7.85546875" style="2" customWidth="1"/>
    <col min="13354" max="13354" width="9.42578125" style="2" customWidth="1"/>
    <col min="13355" max="13355" width="10" style="2" customWidth="1"/>
    <col min="13356" max="13356" width="6.42578125" style="2" customWidth="1"/>
    <col min="13357" max="13357" width="9" style="2" customWidth="1"/>
    <col min="13358" max="13358" width="8.85546875" style="2" customWidth="1"/>
    <col min="13359" max="13359" width="7.7109375" style="2" customWidth="1"/>
    <col min="13360" max="13360" width="9.7109375" style="2" customWidth="1"/>
    <col min="13361" max="13361" width="9.42578125" style="2" customWidth="1"/>
    <col min="13362" max="13362" width="9.85546875" style="2" customWidth="1"/>
    <col min="13363" max="13363" width="7.7109375" style="2" customWidth="1"/>
    <col min="13364" max="13364" width="8.5703125" style="2" customWidth="1"/>
    <col min="13365" max="13365" width="9.140625" style="2" customWidth="1"/>
    <col min="13366" max="13366" width="10.140625" style="2" customWidth="1"/>
    <col min="13367" max="13367" width="10.42578125" style="2" customWidth="1"/>
    <col min="13368" max="13369" width="7.85546875" style="2" customWidth="1"/>
    <col min="13370" max="13370" width="8.28515625" style="2" customWidth="1"/>
    <col min="13371" max="13371" width="10.42578125" style="2" customWidth="1"/>
    <col min="13372" max="13373" width="7.85546875" style="2" customWidth="1"/>
    <col min="13374" max="13374" width="8.28515625" style="2" customWidth="1"/>
    <col min="13375" max="13375" width="10.42578125" style="2" customWidth="1"/>
    <col min="13376" max="13376" width="8.5703125" style="2" customWidth="1"/>
    <col min="13377" max="13377" width="8.85546875" style="2" customWidth="1"/>
    <col min="13378" max="13378" width="8.7109375" style="2" customWidth="1"/>
    <col min="13379" max="13379" width="7.140625" style="2" bestFit="1" customWidth="1"/>
    <col min="13380" max="13380" width="7.7109375" style="2" bestFit="1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8.85546875" style="2" customWidth="1"/>
    <col min="13385" max="13385" width="9.42578125" style="2" customWidth="1"/>
    <col min="13386" max="13387" width="7.7109375" style="2" bestFit="1" customWidth="1"/>
    <col min="13388" max="13388" width="8.85546875" style="2" customWidth="1"/>
    <col min="13389" max="13389" width="9.42578125" style="2" customWidth="1"/>
    <col min="13390" max="13391" width="7.7109375" style="2" bestFit="1" customWidth="1"/>
    <col min="13392" max="13392" width="9.140625" style="2" customWidth="1"/>
    <col min="13393" max="13393" width="10" style="2" customWidth="1"/>
    <col min="13394" max="13394" width="9.5703125" style="2" customWidth="1"/>
    <col min="13395" max="13395" width="9.28515625" style="2" bestFit="1" customWidth="1"/>
    <col min="13396" max="13396" width="9.28515625" style="2" customWidth="1"/>
    <col min="13397" max="13397" width="9.28515625" style="2" bestFit="1" customWidth="1"/>
    <col min="13398" max="13398" width="10.28515625" style="2" customWidth="1"/>
    <col min="13399" max="13399" width="7.7109375" style="2" bestFit="1" customWidth="1"/>
    <col min="13400" max="13400" width="8" style="2" customWidth="1"/>
    <col min="13401" max="13401" width="8.5703125" style="2" customWidth="1"/>
    <col min="13402" max="13402" width="9.7109375" style="2" customWidth="1"/>
    <col min="13403" max="13403" width="9.42578125" style="2" customWidth="1"/>
    <col min="13404" max="13404" width="9.140625" style="2" customWidth="1"/>
    <col min="13405" max="13405" width="11.42578125" style="2" customWidth="1"/>
    <col min="13406" max="13406" width="12.5703125" style="2" customWidth="1"/>
    <col min="13407" max="13407" width="10.28515625" style="2" customWidth="1"/>
    <col min="13408" max="13408" width="7.7109375" style="2" bestFit="1" customWidth="1"/>
    <col min="13409" max="13409" width="8.28515625" style="2" bestFit="1" customWidth="1"/>
    <col min="13410" max="13411" width="7.7109375" style="2" bestFit="1" customWidth="1"/>
    <col min="13412" max="13412" width="6.5703125" style="2" bestFit="1" customWidth="1"/>
    <col min="13413" max="13413" width="8.28515625" style="2" bestFit="1" customWidth="1"/>
    <col min="13414" max="13414" width="6.5703125" style="2" bestFit="1" customWidth="1"/>
    <col min="13415" max="13415" width="7.140625" style="2" bestFit="1" customWidth="1"/>
    <col min="13416" max="13416" width="7.7109375" style="2" bestFit="1" customWidth="1"/>
    <col min="13417" max="13417" width="8.28515625" style="2" bestFit="1" customWidth="1"/>
    <col min="13418" max="13420" width="7.7109375" style="2" bestFit="1" customWidth="1"/>
    <col min="13421" max="13421" width="8.28515625" style="2" bestFit="1" customWidth="1"/>
    <col min="13422" max="13423" width="7.7109375" style="2" bestFit="1" customWidth="1"/>
    <col min="13424" max="13425" width="9.85546875" style="2" customWidth="1"/>
    <col min="13426" max="13426" width="8.5703125" style="2" customWidth="1"/>
    <col min="13427" max="13428" width="8.85546875" style="2" customWidth="1"/>
    <col min="13429" max="13429" width="9.7109375" style="2" customWidth="1"/>
    <col min="13430" max="13430" width="8.5703125" style="2" customWidth="1"/>
    <col min="13431" max="13431" width="7.7109375" style="2" bestFit="1" customWidth="1"/>
    <col min="13432" max="13432" width="7.5703125" style="2" customWidth="1"/>
    <col min="13433" max="13433" width="8.28515625" style="2" bestFit="1" customWidth="1"/>
    <col min="13434" max="13434" width="8.28515625" style="2" customWidth="1"/>
    <col min="13435" max="13435" width="7.140625" style="2" bestFit="1" customWidth="1"/>
    <col min="13436" max="13436" width="9" style="2" customWidth="1"/>
    <col min="13437" max="13437" width="9.5703125" style="2" customWidth="1"/>
    <col min="13438" max="13438" width="9.7109375" style="2" customWidth="1"/>
    <col min="13439" max="13439" width="10.85546875" style="2" customWidth="1"/>
    <col min="13440" max="13440" width="10.42578125" style="2" customWidth="1"/>
    <col min="13441" max="13442" width="11.28515625" style="2" customWidth="1"/>
    <col min="13443" max="13443" width="11" style="2" customWidth="1"/>
    <col min="13444" max="13444" width="6.7109375" style="2" customWidth="1"/>
    <col min="13445" max="13447" width="9.85546875" style="2"/>
    <col min="13448" max="13448" width="13.140625" style="2" customWidth="1"/>
    <col min="13449" max="13525" width="9.85546875" style="2"/>
    <col min="13526" max="13526" width="27.5703125" style="2" customWidth="1"/>
    <col min="13527" max="13527" width="5.28515625" style="2" customWidth="1"/>
    <col min="13528" max="13529" width="9" style="2" customWidth="1"/>
    <col min="13530" max="13530" width="9.5703125" style="2" customWidth="1"/>
    <col min="13531" max="13531" width="9.7109375" style="2" customWidth="1"/>
    <col min="13532" max="13532" width="7.5703125" style="2" customWidth="1"/>
    <col min="13533" max="13533" width="10.42578125" style="2" customWidth="1"/>
    <col min="13534" max="13534" width="9.140625" style="2" bestFit="1" customWidth="1"/>
    <col min="13535" max="13535" width="7.28515625" style="2" customWidth="1"/>
    <col min="13536" max="13537" width="9.28515625" style="2" customWidth="1"/>
    <col min="13538" max="13538" width="9.5703125" style="2" customWidth="1"/>
    <col min="13539" max="13540" width="9" style="2" customWidth="1"/>
    <col min="13541" max="13541" width="8" style="2" customWidth="1"/>
    <col min="13542" max="13542" width="8.5703125" style="2" customWidth="1"/>
    <col min="13543" max="13543" width="8.28515625" style="2" customWidth="1"/>
    <col min="13544" max="13544" width="9.5703125" style="2" customWidth="1"/>
    <col min="13545" max="13545" width="8.42578125" style="2" customWidth="1"/>
    <col min="13546" max="13546" width="8.140625" style="2" customWidth="1"/>
    <col min="13547" max="13547" width="7.5703125" style="2" customWidth="1"/>
    <col min="13548" max="13548" width="9.140625" style="2" customWidth="1"/>
    <col min="13549" max="13549" width="9" style="2" customWidth="1"/>
    <col min="13550" max="13550" width="8.5703125" style="2" customWidth="1"/>
    <col min="13551" max="13551" width="7.85546875" style="2" customWidth="1"/>
    <col min="13552" max="13552" width="6.7109375" style="2" customWidth="1"/>
    <col min="13553" max="13553" width="5.7109375" style="2" customWidth="1"/>
    <col min="13554" max="13554" width="6.28515625" style="2" customWidth="1"/>
    <col min="13555" max="13555" width="6.5703125" style="2" customWidth="1"/>
    <col min="13556" max="13556" width="8.7109375" style="2" customWidth="1"/>
    <col min="13557" max="13557" width="9" style="2" customWidth="1"/>
    <col min="13558" max="13558" width="8.28515625" style="2" customWidth="1"/>
    <col min="13559" max="13559" width="8.42578125" style="2" customWidth="1"/>
    <col min="13560" max="13560" width="9.85546875" style="2" customWidth="1"/>
    <col min="13561" max="13561" width="10" style="2" customWidth="1"/>
    <col min="13562" max="13562" width="10.140625" style="2" customWidth="1"/>
    <col min="13563" max="13563" width="10.5703125" style="2" customWidth="1"/>
    <col min="13564" max="13564" width="8.140625" style="2" customWidth="1"/>
    <col min="13565" max="13565" width="7.85546875" style="2" customWidth="1"/>
    <col min="13566" max="13566" width="9" style="2" customWidth="1"/>
    <col min="13567" max="13567" width="10" style="2" customWidth="1"/>
    <col min="13568" max="13568" width="10.28515625" style="2" customWidth="1"/>
    <col min="13569" max="13569" width="10.140625" style="2" customWidth="1"/>
    <col min="13570" max="13570" width="10.5703125" style="2" customWidth="1"/>
    <col min="13571" max="13571" width="10.28515625" style="2" customWidth="1"/>
    <col min="13572" max="13572" width="9.7109375" style="2" customWidth="1"/>
    <col min="13573" max="13573" width="9.140625" style="2" bestFit="1" customWidth="1"/>
    <col min="13574" max="13574" width="9.28515625" style="2" customWidth="1"/>
    <col min="13575" max="13575" width="9" style="2" customWidth="1"/>
    <col min="13576" max="13576" width="8" style="2" customWidth="1"/>
    <col min="13577" max="13577" width="8.28515625" style="2" customWidth="1"/>
    <col min="13578" max="13578" width="7.85546875" style="2" customWidth="1"/>
    <col min="13579" max="13579" width="9" style="2" customWidth="1"/>
    <col min="13580" max="13580" width="8.42578125" style="2" customWidth="1"/>
    <col min="13581" max="13581" width="8.28515625" style="2" bestFit="1" customWidth="1"/>
    <col min="13582" max="13583" width="9" style="2" customWidth="1"/>
    <col min="13584" max="13584" width="7.140625" style="2" customWidth="1"/>
    <col min="13585" max="13585" width="9.140625" style="2" customWidth="1"/>
    <col min="13586" max="13586" width="7.7109375" style="2" customWidth="1"/>
    <col min="13587" max="13587" width="7.5703125" style="2" customWidth="1"/>
    <col min="13588" max="13588" width="10" style="2" customWidth="1"/>
    <col min="13589" max="13590" width="10.140625" style="2" bestFit="1" customWidth="1"/>
    <col min="13591" max="13591" width="12.7109375" style="2" bestFit="1" customWidth="1"/>
    <col min="13592" max="13592" width="9.140625" style="2" customWidth="1"/>
    <col min="13593" max="13593" width="9" style="2" customWidth="1"/>
    <col min="13594" max="13594" width="8.85546875" style="2" customWidth="1"/>
    <col min="13595" max="13595" width="10.42578125" style="2" customWidth="1"/>
    <col min="13596" max="13596" width="8.7109375" style="2" customWidth="1"/>
    <col min="13597" max="13597" width="8.140625" style="2" customWidth="1"/>
    <col min="13598" max="13598" width="7.7109375" style="2" customWidth="1"/>
    <col min="13599" max="13599" width="9.7109375" style="2" customWidth="1"/>
    <col min="13600" max="13600" width="6.5703125" style="2" bestFit="1" customWidth="1"/>
    <col min="13601" max="13602" width="7.5703125" style="2" customWidth="1"/>
    <col min="13603" max="13603" width="7.7109375" style="2" customWidth="1"/>
    <col min="13604" max="13605" width="9.28515625" style="2" bestFit="1" customWidth="1"/>
    <col min="13606" max="13606" width="9.5703125" style="2" customWidth="1"/>
    <col min="13607" max="13607" width="9.140625" style="2" customWidth="1"/>
    <col min="13608" max="13609" width="7.85546875" style="2" customWidth="1"/>
    <col min="13610" max="13610" width="9.42578125" style="2" customWidth="1"/>
    <col min="13611" max="13611" width="10" style="2" customWidth="1"/>
    <col min="13612" max="13612" width="6.42578125" style="2" customWidth="1"/>
    <col min="13613" max="13613" width="9" style="2" customWidth="1"/>
    <col min="13614" max="13614" width="8.85546875" style="2" customWidth="1"/>
    <col min="13615" max="13615" width="7.7109375" style="2" customWidth="1"/>
    <col min="13616" max="13616" width="9.7109375" style="2" customWidth="1"/>
    <col min="13617" max="13617" width="9.42578125" style="2" customWidth="1"/>
    <col min="13618" max="13618" width="9.85546875" style="2" customWidth="1"/>
    <col min="13619" max="13619" width="7.7109375" style="2" customWidth="1"/>
    <col min="13620" max="13620" width="8.5703125" style="2" customWidth="1"/>
    <col min="13621" max="13621" width="9.140625" style="2" customWidth="1"/>
    <col min="13622" max="13622" width="10.140625" style="2" customWidth="1"/>
    <col min="13623" max="13623" width="10.42578125" style="2" customWidth="1"/>
    <col min="13624" max="13625" width="7.85546875" style="2" customWidth="1"/>
    <col min="13626" max="13626" width="8.28515625" style="2" customWidth="1"/>
    <col min="13627" max="13627" width="10.42578125" style="2" customWidth="1"/>
    <col min="13628" max="13629" width="7.85546875" style="2" customWidth="1"/>
    <col min="13630" max="13630" width="8.28515625" style="2" customWidth="1"/>
    <col min="13631" max="13631" width="10.42578125" style="2" customWidth="1"/>
    <col min="13632" max="13632" width="8.5703125" style="2" customWidth="1"/>
    <col min="13633" max="13633" width="8.85546875" style="2" customWidth="1"/>
    <col min="13634" max="13634" width="8.7109375" style="2" customWidth="1"/>
    <col min="13635" max="13635" width="7.140625" style="2" bestFit="1" customWidth="1"/>
    <col min="13636" max="13636" width="7.7109375" style="2" bestFit="1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8.85546875" style="2" customWidth="1"/>
    <col min="13641" max="13641" width="9.42578125" style="2" customWidth="1"/>
    <col min="13642" max="13643" width="7.7109375" style="2" bestFit="1" customWidth="1"/>
    <col min="13644" max="13644" width="8.85546875" style="2" customWidth="1"/>
    <col min="13645" max="13645" width="9.42578125" style="2" customWidth="1"/>
    <col min="13646" max="13647" width="7.7109375" style="2" bestFit="1" customWidth="1"/>
    <col min="13648" max="13648" width="9.140625" style="2" customWidth="1"/>
    <col min="13649" max="13649" width="10" style="2" customWidth="1"/>
    <col min="13650" max="13650" width="9.5703125" style="2" customWidth="1"/>
    <col min="13651" max="13651" width="9.28515625" style="2" bestFit="1" customWidth="1"/>
    <col min="13652" max="13652" width="9.28515625" style="2" customWidth="1"/>
    <col min="13653" max="13653" width="9.28515625" style="2" bestFit="1" customWidth="1"/>
    <col min="13654" max="13654" width="10.28515625" style="2" customWidth="1"/>
    <col min="13655" max="13655" width="7.7109375" style="2" bestFit="1" customWidth="1"/>
    <col min="13656" max="13656" width="8" style="2" customWidth="1"/>
    <col min="13657" max="13657" width="8.5703125" style="2" customWidth="1"/>
    <col min="13658" max="13658" width="9.7109375" style="2" customWidth="1"/>
    <col min="13659" max="13659" width="9.42578125" style="2" customWidth="1"/>
    <col min="13660" max="13660" width="9.140625" style="2" customWidth="1"/>
    <col min="13661" max="13661" width="11.42578125" style="2" customWidth="1"/>
    <col min="13662" max="13662" width="12.5703125" style="2" customWidth="1"/>
    <col min="13663" max="13663" width="10.28515625" style="2" customWidth="1"/>
    <col min="13664" max="13664" width="7.7109375" style="2" bestFit="1" customWidth="1"/>
    <col min="13665" max="13665" width="8.28515625" style="2" bestFit="1" customWidth="1"/>
    <col min="13666" max="13667" width="7.7109375" style="2" bestFit="1" customWidth="1"/>
    <col min="13668" max="13668" width="6.5703125" style="2" bestFit="1" customWidth="1"/>
    <col min="13669" max="13669" width="8.28515625" style="2" bestFit="1" customWidth="1"/>
    <col min="13670" max="13670" width="6.5703125" style="2" bestFit="1" customWidth="1"/>
    <col min="13671" max="13671" width="7.140625" style="2" bestFit="1" customWidth="1"/>
    <col min="13672" max="13672" width="7.7109375" style="2" bestFit="1" customWidth="1"/>
    <col min="13673" max="13673" width="8.28515625" style="2" bestFit="1" customWidth="1"/>
    <col min="13674" max="13676" width="7.7109375" style="2" bestFit="1" customWidth="1"/>
    <col min="13677" max="13677" width="8.28515625" style="2" bestFit="1" customWidth="1"/>
    <col min="13678" max="13679" width="7.7109375" style="2" bestFit="1" customWidth="1"/>
    <col min="13680" max="13681" width="9.85546875" style="2" customWidth="1"/>
    <col min="13682" max="13682" width="8.5703125" style="2" customWidth="1"/>
    <col min="13683" max="13684" width="8.85546875" style="2" customWidth="1"/>
    <col min="13685" max="13685" width="9.7109375" style="2" customWidth="1"/>
    <col min="13686" max="13686" width="8.5703125" style="2" customWidth="1"/>
    <col min="13687" max="13687" width="7.7109375" style="2" bestFit="1" customWidth="1"/>
    <col min="13688" max="13688" width="7.5703125" style="2" customWidth="1"/>
    <col min="13689" max="13689" width="8.28515625" style="2" bestFit="1" customWidth="1"/>
    <col min="13690" max="13690" width="8.28515625" style="2" customWidth="1"/>
    <col min="13691" max="13691" width="7.140625" style="2" bestFit="1" customWidth="1"/>
    <col min="13692" max="13692" width="9" style="2" customWidth="1"/>
    <col min="13693" max="13693" width="9.5703125" style="2" customWidth="1"/>
    <col min="13694" max="13694" width="9.7109375" style="2" customWidth="1"/>
    <col min="13695" max="13695" width="10.85546875" style="2" customWidth="1"/>
    <col min="13696" max="13696" width="10.42578125" style="2" customWidth="1"/>
    <col min="13697" max="13698" width="11.28515625" style="2" customWidth="1"/>
    <col min="13699" max="13699" width="11" style="2" customWidth="1"/>
    <col min="13700" max="13700" width="6.7109375" style="2" customWidth="1"/>
    <col min="13701" max="13703" width="9.85546875" style="2"/>
    <col min="13704" max="13704" width="13.140625" style="2" customWidth="1"/>
    <col min="13705" max="13781" width="9.85546875" style="2"/>
    <col min="13782" max="13782" width="27.5703125" style="2" customWidth="1"/>
    <col min="13783" max="13783" width="5.28515625" style="2" customWidth="1"/>
    <col min="13784" max="13785" width="9" style="2" customWidth="1"/>
    <col min="13786" max="13786" width="9.5703125" style="2" customWidth="1"/>
    <col min="13787" max="13787" width="9.7109375" style="2" customWidth="1"/>
    <col min="13788" max="13788" width="7.5703125" style="2" customWidth="1"/>
    <col min="13789" max="13789" width="10.42578125" style="2" customWidth="1"/>
    <col min="13790" max="13790" width="9.140625" style="2" bestFit="1" customWidth="1"/>
    <col min="13791" max="13791" width="7.28515625" style="2" customWidth="1"/>
    <col min="13792" max="13793" width="9.28515625" style="2" customWidth="1"/>
    <col min="13794" max="13794" width="9.5703125" style="2" customWidth="1"/>
    <col min="13795" max="13796" width="9" style="2" customWidth="1"/>
    <col min="13797" max="13797" width="8" style="2" customWidth="1"/>
    <col min="13798" max="13798" width="8.5703125" style="2" customWidth="1"/>
    <col min="13799" max="13799" width="8.28515625" style="2" customWidth="1"/>
    <col min="13800" max="13800" width="9.5703125" style="2" customWidth="1"/>
    <col min="13801" max="13801" width="8.42578125" style="2" customWidth="1"/>
    <col min="13802" max="13802" width="8.140625" style="2" customWidth="1"/>
    <col min="13803" max="13803" width="7.5703125" style="2" customWidth="1"/>
    <col min="13804" max="13804" width="9.140625" style="2" customWidth="1"/>
    <col min="13805" max="13805" width="9" style="2" customWidth="1"/>
    <col min="13806" max="13806" width="8.5703125" style="2" customWidth="1"/>
    <col min="13807" max="13807" width="7.85546875" style="2" customWidth="1"/>
    <col min="13808" max="13808" width="6.7109375" style="2" customWidth="1"/>
    <col min="13809" max="13809" width="5.7109375" style="2" customWidth="1"/>
    <col min="13810" max="13810" width="6.28515625" style="2" customWidth="1"/>
    <col min="13811" max="13811" width="6.5703125" style="2" customWidth="1"/>
    <col min="13812" max="13812" width="8.7109375" style="2" customWidth="1"/>
    <col min="13813" max="13813" width="9" style="2" customWidth="1"/>
    <col min="13814" max="13814" width="8.28515625" style="2" customWidth="1"/>
    <col min="13815" max="13815" width="8.42578125" style="2" customWidth="1"/>
    <col min="13816" max="13816" width="9.85546875" style="2" customWidth="1"/>
    <col min="13817" max="13817" width="10" style="2" customWidth="1"/>
    <col min="13818" max="13818" width="10.140625" style="2" customWidth="1"/>
    <col min="13819" max="13819" width="10.5703125" style="2" customWidth="1"/>
    <col min="13820" max="13820" width="8.140625" style="2" customWidth="1"/>
    <col min="13821" max="13821" width="7.85546875" style="2" customWidth="1"/>
    <col min="13822" max="13822" width="9" style="2" customWidth="1"/>
    <col min="13823" max="13823" width="10" style="2" customWidth="1"/>
    <col min="13824" max="13824" width="10.28515625" style="2" customWidth="1"/>
    <col min="13825" max="13825" width="10.140625" style="2" customWidth="1"/>
    <col min="13826" max="13826" width="10.5703125" style="2" customWidth="1"/>
    <col min="13827" max="13827" width="10.28515625" style="2" customWidth="1"/>
    <col min="13828" max="13828" width="9.7109375" style="2" customWidth="1"/>
    <col min="13829" max="13829" width="9.140625" style="2" bestFit="1" customWidth="1"/>
    <col min="13830" max="13830" width="9.28515625" style="2" customWidth="1"/>
    <col min="13831" max="13831" width="9" style="2" customWidth="1"/>
    <col min="13832" max="13832" width="8" style="2" customWidth="1"/>
    <col min="13833" max="13833" width="8.28515625" style="2" customWidth="1"/>
    <col min="13834" max="13834" width="7.85546875" style="2" customWidth="1"/>
    <col min="13835" max="13835" width="9" style="2" customWidth="1"/>
    <col min="13836" max="13836" width="8.42578125" style="2" customWidth="1"/>
    <col min="13837" max="13837" width="8.28515625" style="2" bestFit="1" customWidth="1"/>
    <col min="13838" max="13839" width="9" style="2" customWidth="1"/>
    <col min="13840" max="13840" width="7.140625" style="2" customWidth="1"/>
    <col min="13841" max="13841" width="9.140625" style="2" customWidth="1"/>
    <col min="13842" max="13842" width="7.7109375" style="2" customWidth="1"/>
    <col min="13843" max="13843" width="7.5703125" style="2" customWidth="1"/>
    <col min="13844" max="13844" width="10" style="2" customWidth="1"/>
    <col min="13845" max="13846" width="10.140625" style="2" bestFit="1" customWidth="1"/>
    <col min="13847" max="13847" width="12.7109375" style="2" bestFit="1" customWidth="1"/>
    <col min="13848" max="13848" width="9.140625" style="2" customWidth="1"/>
    <col min="13849" max="13849" width="9" style="2" customWidth="1"/>
    <col min="13850" max="13850" width="8.85546875" style="2" customWidth="1"/>
    <col min="13851" max="13851" width="10.42578125" style="2" customWidth="1"/>
    <col min="13852" max="13852" width="8.7109375" style="2" customWidth="1"/>
    <col min="13853" max="13853" width="8.140625" style="2" customWidth="1"/>
    <col min="13854" max="13854" width="7.7109375" style="2" customWidth="1"/>
    <col min="13855" max="13855" width="9.7109375" style="2" customWidth="1"/>
    <col min="13856" max="13856" width="6.5703125" style="2" bestFit="1" customWidth="1"/>
    <col min="13857" max="13858" width="7.5703125" style="2" customWidth="1"/>
    <col min="13859" max="13859" width="7.7109375" style="2" customWidth="1"/>
    <col min="13860" max="13861" width="9.28515625" style="2" bestFit="1" customWidth="1"/>
    <col min="13862" max="13862" width="9.5703125" style="2" customWidth="1"/>
    <col min="13863" max="13863" width="9.140625" style="2" customWidth="1"/>
    <col min="13864" max="13865" width="7.85546875" style="2" customWidth="1"/>
    <col min="13866" max="13866" width="9.42578125" style="2" customWidth="1"/>
    <col min="13867" max="13867" width="10" style="2" customWidth="1"/>
    <col min="13868" max="13868" width="6.42578125" style="2" customWidth="1"/>
    <col min="13869" max="13869" width="9" style="2" customWidth="1"/>
    <col min="13870" max="13870" width="8.85546875" style="2" customWidth="1"/>
    <col min="13871" max="13871" width="7.7109375" style="2" customWidth="1"/>
    <col min="13872" max="13872" width="9.7109375" style="2" customWidth="1"/>
    <col min="13873" max="13873" width="9.42578125" style="2" customWidth="1"/>
    <col min="13874" max="13874" width="9.85546875" style="2" customWidth="1"/>
    <col min="13875" max="13875" width="7.7109375" style="2" customWidth="1"/>
    <col min="13876" max="13876" width="8.5703125" style="2" customWidth="1"/>
    <col min="13877" max="13877" width="9.140625" style="2" customWidth="1"/>
    <col min="13878" max="13878" width="10.140625" style="2" customWidth="1"/>
    <col min="13879" max="13879" width="10.42578125" style="2" customWidth="1"/>
    <col min="13880" max="13881" width="7.85546875" style="2" customWidth="1"/>
    <col min="13882" max="13882" width="8.28515625" style="2" customWidth="1"/>
    <col min="13883" max="13883" width="10.42578125" style="2" customWidth="1"/>
    <col min="13884" max="13885" width="7.85546875" style="2" customWidth="1"/>
    <col min="13886" max="13886" width="8.28515625" style="2" customWidth="1"/>
    <col min="13887" max="13887" width="10.42578125" style="2" customWidth="1"/>
    <col min="13888" max="13888" width="8.5703125" style="2" customWidth="1"/>
    <col min="13889" max="13889" width="8.85546875" style="2" customWidth="1"/>
    <col min="13890" max="13890" width="8.7109375" style="2" customWidth="1"/>
    <col min="13891" max="13891" width="7.140625" style="2" bestFit="1" customWidth="1"/>
    <col min="13892" max="13892" width="7.7109375" style="2" bestFit="1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8.85546875" style="2" customWidth="1"/>
    <col min="13897" max="13897" width="9.42578125" style="2" customWidth="1"/>
    <col min="13898" max="13899" width="7.7109375" style="2" bestFit="1" customWidth="1"/>
    <col min="13900" max="13900" width="8.85546875" style="2" customWidth="1"/>
    <col min="13901" max="13901" width="9.42578125" style="2" customWidth="1"/>
    <col min="13902" max="13903" width="7.7109375" style="2" bestFit="1" customWidth="1"/>
    <col min="13904" max="13904" width="9.140625" style="2" customWidth="1"/>
    <col min="13905" max="13905" width="10" style="2" customWidth="1"/>
    <col min="13906" max="13906" width="9.5703125" style="2" customWidth="1"/>
    <col min="13907" max="13907" width="9.28515625" style="2" bestFit="1" customWidth="1"/>
    <col min="13908" max="13908" width="9.28515625" style="2" customWidth="1"/>
    <col min="13909" max="13909" width="9.28515625" style="2" bestFit="1" customWidth="1"/>
    <col min="13910" max="13910" width="10.28515625" style="2" customWidth="1"/>
    <col min="13911" max="13911" width="7.7109375" style="2" bestFit="1" customWidth="1"/>
    <col min="13912" max="13912" width="8" style="2" customWidth="1"/>
    <col min="13913" max="13913" width="8.5703125" style="2" customWidth="1"/>
    <col min="13914" max="13914" width="9.7109375" style="2" customWidth="1"/>
    <col min="13915" max="13915" width="9.42578125" style="2" customWidth="1"/>
    <col min="13916" max="13916" width="9.140625" style="2" customWidth="1"/>
    <col min="13917" max="13917" width="11.42578125" style="2" customWidth="1"/>
    <col min="13918" max="13918" width="12.5703125" style="2" customWidth="1"/>
    <col min="13919" max="13919" width="10.28515625" style="2" customWidth="1"/>
    <col min="13920" max="13920" width="7.7109375" style="2" bestFit="1" customWidth="1"/>
    <col min="13921" max="13921" width="8.28515625" style="2" bestFit="1" customWidth="1"/>
    <col min="13922" max="13923" width="7.7109375" style="2" bestFit="1" customWidth="1"/>
    <col min="13924" max="13924" width="6.5703125" style="2" bestFit="1" customWidth="1"/>
    <col min="13925" max="13925" width="8.28515625" style="2" bestFit="1" customWidth="1"/>
    <col min="13926" max="13926" width="6.5703125" style="2" bestFit="1" customWidth="1"/>
    <col min="13927" max="13927" width="7.140625" style="2" bestFit="1" customWidth="1"/>
    <col min="13928" max="13928" width="7.7109375" style="2" bestFit="1" customWidth="1"/>
    <col min="13929" max="13929" width="8.28515625" style="2" bestFit="1" customWidth="1"/>
    <col min="13930" max="13932" width="7.7109375" style="2" bestFit="1" customWidth="1"/>
    <col min="13933" max="13933" width="8.28515625" style="2" bestFit="1" customWidth="1"/>
    <col min="13934" max="13935" width="7.7109375" style="2" bestFit="1" customWidth="1"/>
    <col min="13936" max="13937" width="9.85546875" style="2" customWidth="1"/>
    <col min="13938" max="13938" width="8.5703125" style="2" customWidth="1"/>
    <col min="13939" max="13940" width="8.85546875" style="2" customWidth="1"/>
    <col min="13941" max="13941" width="9.7109375" style="2" customWidth="1"/>
    <col min="13942" max="13942" width="8.5703125" style="2" customWidth="1"/>
    <col min="13943" max="13943" width="7.7109375" style="2" bestFit="1" customWidth="1"/>
    <col min="13944" max="13944" width="7.5703125" style="2" customWidth="1"/>
    <col min="13945" max="13945" width="8.28515625" style="2" bestFit="1" customWidth="1"/>
    <col min="13946" max="13946" width="8.28515625" style="2" customWidth="1"/>
    <col min="13947" max="13947" width="7.140625" style="2" bestFit="1" customWidth="1"/>
    <col min="13948" max="13948" width="9" style="2" customWidth="1"/>
    <col min="13949" max="13949" width="9.5703125" style="2" customWidth="1"/>
    <col min="13950" max="13950" width="9.7109375" style="2" customWidth="1"/>
    <col min="13951" max="13951" width="10.85546875" style="2" customWidth="1"/>
    <col min="13952" max="13952" width="10.42578125" style="2" customWidth="1"/>
    <col min="13953" max="13954" width="11.28515625" style="2" customWidth="1"/>
    <col min="13955" max="13955" width="11" style="2" customWidth="1"/>
    <col min="13956" max="13956" width="6.7109375" style="2" customWidth="1"/>
    <col min="13957" max="13959" width="9.85546875" style="2"/>
    <col min="13960" max="13960" width="13.140625" style="2" customWidth="1"/>
    <col min="13961" max="14037" width="9.85546875" style="2"/>
    <col min="14038" max="14038" width="27.5703125" style="2" customWidth="1"/>
    <col min="14039" max="14039" width="5.28515625" style="2" customWidth="1"/>
    <col min="14040" max="14041" width="9" style="2" customWidth="1"/>
    <col min="14042" max="14042" width="9.5703125" style="2" customWidth="1"/>
    <col min="14043" max="14043" width="9.7109375" style="2" customWidth="1"/>
    <col min="14044" max="14044" width="7.5703125" style="2" customWidth="1"/>
    <col min="14045" max="14045" width="10.42578125" style="2" customWidth="1"/>
    <col min="14046" max="14046" width="9.140625" style="2" bestFit="1" customWidth="1"/>
    <col min="14047" max="14047" width="7.28515625" style="2" customWidth="1"/>
    <col min="14048" max="14049" width="9.28515625" style="2" customWidth="1"/>
    <col min="14050" max="14050" width="9.5703125" style="2" customWidth="1"/>
    <col min="14051" max="14052" width="9" style="2" customWidth="1"/>
    <col min="14053" max="14053" width="8" style="2" customWidth="1"/>
    <col min="14054" max="14054" width="8.5703125" style="2" customWidth="1"/>
    <col min="14055" max="14055" width="8.28515625" style="2" customWidth="1"/>
    <col min="14056" max="14056" width="9.5703125" style="2" customWidth="1"/>
    <col min="14057" max="14057" width="8.42578125" style="2" customWidth="1"/>
    <col min="14058" max="14058" width="8.140625" style="2" customWidth="1"/>
    <col min="14059" max="14059" width="7.5703125" style="2" customWidth="1"/>
    <col min="14060" max="14060" width="9.140625" style="2" customWidth="1"/>
    <col min="14061" max="14061" width="9" style="2" customWidth="1"/>
    <col min="14062" max="14062" width="8.5703125" style="2" customWidth="1"/>
    <col min="14063" max="14063" width="7.85546875" style="2" customWidth="1"/>
    <col min="14064" max="14064" width="6.7109375" style="2" customWidth="1"/>
    <col min="14065" max="14065" width="5.7109375" style="2" customWidth="1"/>
    <col min="14066" max="14066" width="6.28515625" style="2" customWidth="1"/>
    <col min="14067" max="14067" width="6.5703125" style="2" customWidth="1"/>
    <col min="14068" max="14068" width="8.7109375" style="2" customWidth="1"/>
    <col min="14069" max="14069" width="9" style="2" customWidth="1"/>
    <col min="14070" max="14070" width="8.28515625" style="2" customWidth="1"/>
    <col min="14071" max="14071" width="8.42578125" style="2" customWidth="1"/>
    <col min="14072" max="14072" width="9.85546875" style="2" customWidth="1"/>
    <col min="14073" max="14073" width="10" style="2" customWidth="1"/>
    <col min="14074" max="14074" width="10.140625" style="2" customWidth="1"/>
    <col min="14075" max="14075" width="10.5703125" style="2" customWidth="1"/>
    <col min="14076" max="14076" width="8.140625" style="2" customWidth="1"/>
    <col min="14077" max="14077" width="7.85546875" style="2" customWidth="1"/>
    <col min="14078" max="14078" width="9" style="2" customWidth="1"/>
    <col min="14079" max="14079" width="10" style="2" customWidth="1"/>
    <col min="14080" max="14080" width="10.28515625" style="2" customWidth="1"/>
    <col min="14081" max="14081" width="10.140625" style="2" customWidth="1"/>
    <col min="14082" max="14082" width="10.5703125" style="2" customWidth="1"/>
    <col min="14083" max="14083" width="10.28515625" style="2" customWidth="1"/>
    <col min="14084" max="14084" width="9.7109375" style="2" customWidth="1"/>
    <col min="14085" max="14085" width="9.140625" style="2" bestFit="1" customWidth="1"/>
    <col min="14086" max="14086" width="9.28515625" style="2" customWidth="1"/>
    <col min="14087" max="14087" width="9" style="2" customWidth="1"/>
    <col min="14088" max="14088" width="8" style="2" customWidth="1"/>
    <col min="14089" max="14089" width="8.28515625" style="2" customWidth="1"/>
    <col min="14090" max="14090" width="7.85546875" style="2" customWidth="1"/>
    <col min="14091" max="14091" width="9" style="2" customWidth="1"/>
    <col min="14092" max="14092" width="8.42578125" style="2" customWidth="1"/>
    <col min="14093" max="14093" width="8.28515625" style="2" bestFit="1" customWidth="1"/>
    <col min="14094" max="14095" width="9" style="2" customWidth="1"/>
    <col min="14096" max="14096" width="7.140625" style="2" customWidth="1"/>
    <col min="14097" max="14097" width="9.140625" style="2" customWidth="1"/>
    <col min="14098" max="14098" width="7.7109375" style="2" customWidth="1"/>
    <col min="14099" max="14099" width="7.5703125" style="2" customWidth="1"/>
    <col min="14100" max="14100" width="10" style="2" customWidth="1"/>
    <col min="14101" max="14102" width="10.140625" style="2" bestFit="1" customWidth="1"/>
    <col min="14103" max="14103" width="12.7109375" style="2" bestFit="1" customWidth="1"/>
    <col min="14104" max="14104" width="9.140625" style="2" customWidth="1"/>
    <col min="14105" max="14105" width="9" style="2" customWidth="1"/>
    <col min="14106" max="14106" width="8.85546875" style="2" customWidth="1"/>
    <col min="14107" max="14107" width="10.42578125" style="2" customWidth="1"/>
    <col min="14108" max="14108" width="8.7109375" style="2" customWidth="1"/>
    <col min="14109" max="14109" width="8.140625" style="2" customWidth="1"/>
    <col min="14110" max="14110" width="7.7109375" style="2" customWidth="1"/>
    <col min="14111" max="14111" width="9.7109375" style="2" customWidth="1"/>
    <col min="14112" max="14112" width="6.5703125" style="2" bestFit="1" customWidth="1"/>
    <col min="14113" max="14114" width="7.5703125" style="2" customWidth="1"/>
    <col min="14115" max="14115" width="7.7109375" style="2" customWidth="1"/>
    <col min="14116" max="14117" width="9.28515625" style="2" bestFit="1" customWidth="1"/>
    <col min="14118" max="14118" width="9.5703125" style="2" customWidth="1"/>
    <col min="14119" max="14119" width="9.140625" style="2" customWidth="1"/>
    <col min="14120" max="14121" width="7.85546875" style="2" customWidth="1"/>
    <col min="14122" max="14122" width="9.42578125" style="2" customWidth="1"/>
    <col min="14123" max="14123" width="10" style="2" customWidth="1"/>
    <col min="14124" max="14124" width="6.42578125" style="2" customWidth="1"/>
    <col min="14125" max="14125" width="9" style="2" customWidth="1"/>
    <col min="14126" max="14126" width="8.85546875" style="2" customWidth="1"/>
    <col min="14127" max="14127" width="7.7109375" style="2" customWidth="1"/>
    <col min="14128" max="14128" width="9.7109375" style="2" customWidth="1"/>
    <col min="14129" max="14129" width="9.42578125" style="2" customWidth="1"/>
    <col min="14130" max="14130" width="9.85546875" style="2" customWidth="1"/>
    <col min="14131" max="14131" width="7.7109375" style="2" customWidth="1"/>
    <col min="14132" max="14132" width="8.5703125" style="2" customWidth="1"/>
    <col min="14133" max="14133" width="9.140625" style="2" customWidth="1"/>
    <col min="14134" max="14134" width="10.140625" style="2" customWidth="1"/>
    <col min="14135" max="14135" width="10.42578125" style="2" customWidth="1"/>
    <col min="14136" max="14137" width="7.85546875" style="2" customWidth="1"/>
    <col min="14138" max="14138" width="8.28515625" style="2" customWidth="1"/>
    <col min="14139" max="14139" width="10.42578125" style="2" customWidth="1"/>
    <col min="14140" max="14141" width="7.85546875" style="2" customWidth="1"/>
    <col min="14142" max="14142" width="8.28515625" style="2" customWidth="1"/>
    <col min="14143" max="14143" width="10.42578125" style="2" customWidth="1"/>
    <col min="14144" max="14144" width="8.5703125" style="2" customWidth="1"/>
    <col min="14145" max="14145" width="8.85546875" style="2" customWidth="1"/>
    <col min="14146" max="14146" width="8.7109375" style="2" customWidth="1"/>
    <col min="14147" max="14147" width="7.140625" style="2" bestFit="1" customWidth="1"/>
    <col min="14148" max="14148" width="7.7109375" style="2" bestFit="1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8.85546875" style="2" customWidth="1"/>
    <col min="14153" max="14153" width="9.42578125" style="2" customWidth="1"/>
    <col min="14154" max="14155" width="7.7109375" style="2" bestFit="1" customWidth="1"/>
    <col min="14156" max="14156" width="8.85546875" style="2" customWidth="1"/>
    <col min="14157" max="14157" width="9.42578125" style="2" customWidth="1"/>
    <col min="14158" max="14159" width="7.7109375" style="2" bestFit="1" customWidth="1"/>
    <col min="14160" max="14160" width="9.140625" style="2" customWidth="1"/>
    <col min="14161" max="14161" width="10" style="2" customWidth="1"/>
    <col min="14162" max="14162" width="9.5703125" style="2" customWidth="1"/>
    <col min="14163" max="14163" width="9.28515625" style="2" bestFit="1" customWidth="1"/>
    <col min="14164" max="14164" width="9.28515625" style="2" customWidth="1"/>
    <col min="14165" max="14165" width="9.28515625" style="2" bestFit="1" customWidth="1"/>
    <col min="14166" max="14166" width="10.28515625" style="2" customWidth="1"/>
    <col min="14167" max="14167" width="7.7109375" style="2" bestFit="1" customWidth="1"/>
    <col min="14168" max="14168" width="8" style="2" customWidth="1"/>
    <col min="14169" max="14169" width="8.5703125" style="2" customWidth="1"/>
    <col min="14170" max="14170" width="9.7109375" style="2" customWidth="1"/>
    <col min="14171" max="14171" width="9.42578125" style="2" customWidth="1"/>
    <col min="14172" max="14172" width="9.140625" style="2" customWidth="1"/>
    <col min="14173" max="14173" width="11.42578125" style="2" customWidth="1"/>
    <col min="14174" max="14174" width="12.5703125" style="2" customWidth="1"/>
    <col min="14175" max="14175" width="10.28515625" style="2" customWidth="1"/>
    <col min="14176" max="14176" width="7.7109375" style="2" bestFit="1" customWidth="1"/>
    <col min="14177" max="14177" width="8.28515625" style="2" bestFit="1" customWidth="1"/>
    <col min="14178" max="14179" width="7.7109375" style="2" bestFit="1" customWidth="1"/>
    <col min="14180" max="14180" width="6.5703125" style="2" bestFit="1" customWidth="1"/>
    <col min="14181" max="14181" width="8.28515625" style="2" bestFit="1" customWidth="1"/>
    <col min="14182" max="14182" width="6.5703125" style="2" bestFit="1" customWidth="1"/>
    <col min="14183" max="14183" width="7.140625" style="2" bestFit="1" customWidth="1"/>
    <col min="14184" max="14184" width="7.7109375" style="2" bestFit="1" customWidth="1"/>
    <col min="14185" max="14185" width="8.28515625" style="2" bestFit="1" customWidth="1"/>
    <col min="14186" max="14188" width="7.7109375" style="2" bestFit="1" customWidth="1"/>
    <col min="14189" max="14189" width="8.28515625" style="2" bestFit="1" customWidth="1"/>
    <col min="14190" max="14191" width="7.7109375" style="2" bestFit="1" customWidth="1"/>
    <col min="14192" max="14193" width="9.85546875" style="2" customWidth="1"/>
    <col min="14194" max="14194" width="8.5703125" style="2" customWidth="1"/>
    <col min="14195" max="14196" width="8.85546875" style="2" customWidth="1"/>
    <col min="14197" max="14197" width="9.7109375" style="2" customWidth="1"/>
    <col min="14198" max="14198" width="8.5703125" style="2" customWidth="1"/>
    <col min="14199" max="14199" width="7.7109375" style="2" bestFit="1" customWidth="1"/>
    <col min="14200" max="14200" width="7.5703125" style="2" customWidth="1"/>
    <col min="14201" max="14201" width="8.28515625" style="2" bestFit="1" customWidth="1"/>
    <col min="14202" max="14202" width="8.28515625" style="2" customWidth="1"/>
    <col min="14203" max="14203" width="7.140625" style="2" bestFit="1" customWidth="1"/>
    <col min="14204" max="14204" width="9" style="2" customWidth="1"/>
    <col min="14205" max="14205" width="9.5703125" style="2" customWidth="1"/>
    <col min="14206" max="14206" width="9.7109375" style="2" customWidth="1"/>
    <col min="14207" max="14207" width="10.85546875" style="2" customWidth="1"/>
    <col min="14208" max="14208" width="10.42578125" style="2" customWidth="1"/>
    <col min="14209" max="14210" width="11.28515625" style="2" customWidth="1"/>
    <col min="14211" max="14211" width="11" style="2" customWidth="1"/>
    <col min="14212" max="14212" width="6.7109375" style="2" customWidth="1"/>
    <col min="14213" max="14215" width="9.85546875" style="2"/>
    <col min="14216" max="14216" width="13.140625" style="2" customWidth="1"/>
    <col min="14217" max="14293" width="9.85546875" style="2"/>
    <col min="14294" max="14294" width="27.5703125" style="2" customWidth="1"/>
    <col min="14295" max="14295" width="5.28515625" style="2" customWidth="1"/>
    <col min="14296" max="14297" width="9" style="2" customWidth="1"/>
    <col min="14298" max="14298" width="9.5703125" style="2" customWidth="1"/>
    <col min="14299" max="14299" width="9.7109375" style="2" customWidth="1"/>
    <col min="14300" max="14300" width="7.5703125" style="2" customWidth="1"/>
    <col min="14301" max="14301" width="10.42578125" style="2" customWidth="1"/>
    <col min="14302" max="14302" width="9.140625" style="2" bestFit="1" customWidth="1"/>
    <col min="14303" max="14303" width="7.28515625" style="2" customWidth="1"/>
    <col min="14304" max="14305" width="9.28515625" style="2" customWidth="1"/>
    <col min="14306" max="14306" width="9.5703125" style="2" customWidth="1"/>
    <col min="14307" max="14308" width="9" style="2" customWidth="1"/>
    <col min="14309" max="14309" width="8" style="2" customWidth="1"/>
    <col min="14310" max="14310" width="8.5703125" style="2" customWidth="1"/>
    <col min="14311" max="14311" width="8.28515625" style="2" customWidth="1"/>
    <col min="14312" max="14312" width="9.5703125" style="2" customWidth="1"/>
    <col min="14313" max="14313" width="8.42578125" style="2" customWidth="1"/>
    <col min="14314" max="14314" width="8.140625" style="2" customWidth="1"/>
    <col min="14315" max="14315" width="7.5703125" style="2" customWidth="1"/>
    <col min="14316" max="14316" width="9.140625" style="2" customWidth="1"/>
    <col min="14317" max="14317" width="9" style="2" customWidth="1"/>
    <col min="14318" max="14318" width="8.5703125" style="2" customWidth="1"/>
    <col min="14319" max="14319" width="7.85546875" style="2" customWidth="1"/>
    <col min="14320" max="14320" width="6.7109375" style="2" customWidth="1"/>
    <col min="14321" max="14321" width="5.7109375" style="2" customWidth="1"/>
    <col min="14322" max="14322" width="6.28515625" style="2" customWidth="1"/>
    <col min="14323" max="14323" width="6.5703125" style="2" customWidth="1"/>
    <col min="14324" max="14324" width="8.7109375" style="2" customWidth="1"/>
    <col min="14325" max="14325" width="9" style="2" customWidth="1"/>
    <col min="14326" max="14326" width="8.28515625" style="2" customWidth="1"/>
    <col min="14327" max="14327" width="8.42578125" style="2" customWidth="1"/>
    <col min="14328" max="14328" width="9.85546875" style="2" customWidth="1"/>
    <col min="14329" max="14329" width="10" style="2" customWidth="1"/>
    <col min="14330" max="14330" width="10.140625" style="2" customWidth="1"/>
    <col min="14331" max="14331" width="10.5703125" style="2" customWidth="1"/>
    <col min="14332" max="14332" width="8.140625" style="2" customWidth="1"/>
    <col min="14333" max="14333" width="7.85546875" style="2" customWidth="1"/>
    <col min="14334" max="14334" width="9" style="2" customWidth="1"/>
    <col min="14335" max="14335" width="10" style="2" customWidth="1"/>
    <col min="14336" max="14336" width="10.28515625" style="2" customWidth="1"/>
    <col min="14337" max="14337" width="10.140625" style="2" customWidth="1"/>
    <col min="14338" max="14338" width="10.5703125" style="2" customWidth="1"/>
    <col min="14339" max="14339" width="10.28515625" style="2" customWidth="1"/>
    <col min="14340" max="14340" width="9.7109375" style="2" customWidth="1"/>
    <col min="14341" max="14341" width="9.140625" style="2" bestFit="1" customWidth="1"/>
    <col min="14342" max="14342" width="9.28515625" style="2" customWidth="1"/>
    <col min="14343" max="14343" width="9" style="2" customWidth="1"/>
    <col min="14344" max="14344" width="8" style="2" customWidth="1"/>
    <col min="14345" max="14345" width="8.28515625" style="2" customWidth="1"/>
    <col min="14346" max="14346" width="7.85546875" style="2" customWidth="1"/>
    <col min="14347" max="14347" width="9" style="2" customWidth="1"/>
    <col min="14348" max="14348" width="8.42578125" style="2" customWidth="1"/>
    <col min="14349" max="14349" width="8.28515625" style="2" bestFit="1" customWidth="1"/>
    <col min="14350" max="14351" width="9" style="2" customWidth="1"/>
    <col min="14352" max="14352" width="7.140625" style="2" customWidth="1"/>
    <col min="14353" max="14353" width="9.140625" style="2" customWidth="1"/>
    <col min="14354" max="14354" width="7.7109375" style="2" customWidth="1"/>
    <col min="14355" max="14355" width="7.5703125" style="2" customWidth="1"/>
    <col min="14356" max="14356" width="10" style="2" customWidth="1"/>
    <col min="14357" max="14358" width="10.140625" style="2" bestFit="1" customWidth="1"/>
    <col min="14359" max="14359" width="12.7109375" style="2" bestFit="1" customWidth="1"/>
    <col min="14360" max="14360" width="9.140625" style="2" customWidth="1"/>
    <col min="14361" max="14361" width="9" style="2" customWidth="1"/>
    <col min="14362" max="14362" width="8.85546875" style="2" customWidth="1"/>
    <col min="14363" max="14363" width="10.42578125" style="2" customWidth="1"/>
    <col min="14364" max="14364" width="8.7109375" style="2" customWidth="1"/>
    <col min="14365" max="14365" width="8.140625" style="2" customWidth="1"/>
    <col min="14366" max="14366" width="7.7109375" style="2" customWidth="1"/>
    <col min="14367" max="14367" width="9.7109375" style="2" customWidth="1"/>
    <col min="14368" max="14368" width="6.5703125" style="2" bestFit="1" customWidth="1"/>
    <col min="14369" max="14370" width="7.5703125" style="2" customWidth="1"/>
    <col min="14371" max="14371" width="7.7109375" style="2" customWidth="1"/>
    <col min="14372" max="14373" width="9.28515625" style="2" bestFit="1" customWidth="1"/>
    <col min="14374" max="14374" width="9.5703125" style="2" customWidth="1"/>
    <col min="14375" max="14375" width="9.140625" style="2" customWidth="1"/>
    <col min="14376" max="14377" width="7.85546875" style="2" customWidth="1"/>
    <col min="14378" max="14378" width="9.42578125" style="2" customWidth="1"/>
    <col min="14379" max="14379" width="10" style="2" customWidth="1"/>
    <col min="14380" max="14380" width="6.42578125" style="2" customWidth="1"/>
    <col min="14381" max="14381" width="9" style="2" customWidth="1"/>
    <col min="14382" max="14382" width="8.85546875" style="2" customWidth="1"/>
    <col min="14383" max="14383" width="7.7109375" style="2" customWidth="1"/>
    <col min="14384" max="14384" width="9.7109375" style="2" customWidth="1"/>
    <col min="14385" max="14385" width="9.42578125" style="2" customWidth="1"/>
    <col min="14386" max="14386" width="9.85546875" style="2" customWidth="1"/>
    <col min="14387" max="14387" width="7.7109375" style="2" customWidth="1"/>
    <col min="14388" max="14388" width="8.5703125" style="2" customWidth="1"/>
    <col min="14389" max="14389" width="9.140625" style="2" customWidth="1"/>
    <col min="14390" max="14390" width="10.140625" style="2" customWidth="1"/>
    <col min="14391" max="14391" width="10.42578125" style="2" customWidth="1"/>
    <col min="14392" max="14393" width="7.85546875" style="2" customWidth="1"/>
    <col min="14394" max="14394" width="8.28515625" style="2" customWidth="1"/>
    <col min="14395" max="14395" width="10.42578125" style="2" customWidth="1"/>
    <col min="14396" max="14397" width="7.85546875" style="2" customWidth="1"/>
    <col min="14398" max="14398" width="8.28515625" style="2" customWidth="1"/>
    <col min="14399" max="14399" width="10.42578125" style="2" customWidth="1"/>
    <col min="14400" max="14400" width="8.5703125" style="2" customWidth="1"/>
    <col min="14401" max="14401" width="8.85546875" style="2" customWidth="1"/>
    <col min="14402" max="14402" width="8.7109375" style="2" customWidth="1"/>
    <col min="14403" max="14403" width="7.140625" style="2" bestFit="1" customWidth="1"/>
    <col min="14404" max="14404" width="7.7109375" style="2" bestFit="1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8.85546875" style="2" customWidth="1"/>
    <col min="14409" max="14409" width="9.42578125" style="2" customWidth="1"/>
    <col min="14410" max="14411" width="7.7109375" style="2" bestFit="1" customWidth="1"/>
    <col min="14412" max="14412" width="8.85546875" style="2" customWidth="1"/>
    <col min="14413" max="14413" width="9.42578125" style="2" customWidth="1"/>
    <col min="14414" max="14415" width="7.7109375" style="2" bestFit="1" customWidth="1"/>
    <col min="14416" max="14416" width="9.140625" style="2" customWidth="1"/>
    <col min="14417" max="14417" width="10" style="2" customWidth="1"/>
    <col min="14418" max="14418" width="9.5703125" style="2" customWidth="1"/>
    <col min="14419" max="14419" width="9.28515625" style="2" bestFit="1" customWidth="1"/>
    <col min="14420" max="14420" width="9.28515625" style="2" customWidth="1"/>
    <col min="14421" max="14421" width="9.28515625" style="2" bestFit="1" customWidth="1"/>
    <col min="14422" max="14422" width="10.28515625" style="2" customWidth="1"/>
    <col min="14423" max="14423" width="7.7109375" style="2" bestFit="1" customWidth="1"/>
    <col min="14424" max="14424" width="8" style="2" customWidth="1"/>
    <col min="14425" max="14425" width="8.5703125" style="2" customWidth="1"/>
    <col min="14426" max="14426" width="9.7109375" style="2" customWidth="1"/>
    <col min="14427" max="14427" width="9.42578125" style="2" customWidth="1"/>
    <col min="14428" max="14428" width="9.140625" style="2" customWidth="1"/>
    <col min="14429" max="14429" width="11.42578125" style="2" customWidth="1"/>
    <col min="14430" max="14430" width="12.5703125" style="2" customWidth="1"/>
    <col min="14431" max="14431" width="10.28515625" style="2" customWidth="1"/>
    <col min="14432" max="14432" width="7.7109375" style="2" bestFit="1" customWidth="1"/>
    <col min="14433" max="14433" width="8.28515625" style="2" bestFit="1" customWidth="1"/>
    <col min="14434" max="14435" width="7.7109375" style="2" bestFit="1" customWidth="1"/>
    <col min="14436" max="14436" width="6.5703125" style="2" bestFit="1" customWidth="1"/>
    <col min="14437" max="14437" width="8.28515625" style="2" bestFit="1" customWidth="1"/>
    <col min="14438" max="14438" width="6.5703125" style="2" bestFit="1" customWidth="1"/>
    <col min="14439" max="14439" width="7.140625" style="2" bestFit="1" customWidth="1"/>
    <col min="14440" max="14440" width="7.7109375" style="2" bestFit="1" customWidth="1"/>
    <col min="14441" max="14441" width="8.28515625" style="2" bestFit="1" customWidth="1"/>
    <col min="14442" max="14444" width="7.7109375" style="2" bestFit="1" customWidth="1"/>
    <col min="14445" max="14445" width="8.28515625" style="2" bestFit="1" customWidth="1"/>
    <col min="14446" max="14447" width="7.7109375" style="2" bestFit="1" customWidth="1"/>
    <col min="14448" max="14449" width="9.85546875" style="2" customWidth="1"/>
    <col min="14450" max="14450" width="8.5703125" style="2" customWidth="1"/>
    <col min="14451" max="14452" width="8.85546875" style="2" customWidth="1"/>
    <col min="14453" max="14453" width="9.7109375" style="2" customWidth="1"/>
    <col min="14454" max="14454" width="8.5703125" style="2" customWidth="1"/>
    <col min="14455" max="14455" width="7.7109375" style="2" bestFit="1" customWidth="1"/>
    <col min="14456" max="14456" width="7.5703125" style="2" customWidth="1"/>
    <col min="14457" max="14457" width="8.28515625" style="2" bestFit="1" customWidth="1"/>
    <col min="14458" max="14458" width="8.28515625" style="2" customWidth="1"/>
    <col min="14459" max="14459" width="7.140625" style="2" bestFit="1" customWidth="1"/>
    <col min="14460" max="14460" width="9" style="2" customWidth="1"/>
    <col min="14461" max="14461" width="9.5703125" style="2" customWidth="1"/>
    <col min="14462" max="14462" width="9.7109375" style="2" customWidth="1"/>
    <col min="14463" max="14463" width="10.85546875" style="2" customWidth="1"/>
    <col min="14464" max="14464" width="10.42578125" style="2" customWidth="1"/>
    <col min="14465" max="14466" width="11.28515625" style="2" customWidth="1"/>
    <col min="14467" max="14467" width="11" style="2" customWidth="1"/>
    <col min="14468" max="14468" width="6.7109375" style="2" customWidth="1"/>
    <col min="14469" max="14471" width="9.85546875" style="2"/>
    <col min="14472" max="14472" width="13.140625" style="2" customWidth="1"/>
    <col min="14473" max="14549" width="9.85546875" style="2"/>
    <col min="14550" max="14550" width="27.5703125" style="2" customWidth="1"/>
    <col min="14551" max="14551" width="5.28515625" style="2" customWidth="1"/>
    <col min="14552" max="14553" width="9" style="2" customWidth="1"/>
    <col min="14554" max="14554" width="9.5703125" style="2" customWidth="1"/>
    <col min="14555" max="14555" width="9.7109375" style="2" customWidth="1"/>
    <col min="14556" max="14556" width="7.5703125" style="2" customWidth="1"/>
    <col min="14557" max="14557" width="10.42578125" style="2" customWidth="1"/>
    <col min="14558" max="14558" width="9.140625" style="2" bestFit="1" customWidth="1"/>
    <col min="14559" max="14559" width="7.28515625" style="2" customWidth="1"/>
    <col min="14560" max="14561" width="9.28515625" style="2" customWidth="1"/>
    <col min="14562" max="14562" width="9.5703125" style="2" customWidth="1"/>
    <col min="14563" max="14564" width="9" style="2" customWidth="1"/>
    <col min="14565" max="14565" width="8" style="2" customWidth="1"/>
    <col min="14566" max="14566" width="8.5703125" style="2" customWidth="1"/>
    <col min="14567" max="14567" width="8.28515625" style="2" customWidth="1"/>
    <col min="14568" max="14568" width="9.5703125" style="2" customWidth="1"/>
    <col min="14569" max="14569" width="8.42578125" style="2" customWidth="1"/>
    <col min="14570" max="14570" width="8.140625" style="2" customWidth="1"/>
    <col min="14571" max="14571" width="7.5703125" style="2" customWidth="1"/>
    <col min="14572" max="14572" width="9.140625" style="2" customWidth="1"/>
    <col min="14573" max="14573" width="9" style="2" customWidth="1"/>
    <col min="14574" max="14574" width="8.5703125" style="2" customWidth="1"/>
    <col min="14575" max="14575" width="7.85546875" style="2" customWidth="1"/>
    <col min="14576" max="14576" width="6.7109375" style="2" customWidth="1"/>
    <col min="14577" max="14577" width="5.7109375" style="2" customWidth="1"/>
    <col min="14578" max="14578" width="6.28515625" style="2" customWidth="1"/>
    <col min="14579" max="14579" width="6.5703125" style="2" customWidth="1"/>
    <col min="14580" max="14580" width="8.7109375" style="2" customWidth="1"/>
    <col min="14581" max="14581" width="9" style="2" customWidth="1"/>
    <col min="14582" max="14582" width="8.28515625" style="2" customWidth="1"/>
    <col min="14583" max="14583" width="8.42578125" style="2" customWidth="1"/>
    <col min="14584" max="14584" width="9.85546875" style="2" customWidth="1"/>
    <col min="14585" max="14585" width="10" style="2" customWidth="1"/>
    <col min="14586" max="14586" width="10.140625" style="2" customWidth="1"/>
    <col min="14587" max="14587" width="10.5703125" style="2" customWidth="1"/>
    <col min="14588" max="14588" width="8.140625" style="2" customWidth="1"/>
    <col min="14589" max="14589" width="7.85546875" style="2" customWidth="1"/>
    <col min="14590" max="14590" width="9" style="2" customWidth="1"/>
    <col min="14591" max="14591" width="10" style="2" customWidth="1"/>
    <col min="14592" max="14592" width="10.28515625" style="2" customWidth="1"/>
    <col min="14593" max="14593" width="10.140625" style="2" customWidth="1"/>
    <col min="14594" max="14594" width="10.5703125" style="2" customWidth="1"/>
    <col min="14595" max="14595" width="10.28515625" style="2" customWidth="1"/>
    <col min="14596" max="14596" width="9.7109375" style="2" customWidth="1"/>
    <col min="14597" max="14597" width="9.140625" style="2" bestFit="1" customWidth="1"/>
    <col min="14598" max="14598" width="9.28515625" style="2" customWidth="1"/>
    <col min="14599" max="14599" width="9" style="2" customWidth="1"/>
    <col min="14600" max="14600" width="8" style="2" customWidth="1"/>
    <col min="14601" max="14601" width="8.28515625" style="2" customWidth="1"/>
    <col min="14602" max="14602" width="7.85546875" style="2" customWidth="1"/>
    <col min="14603" max="14603" width="9" style="2" customWidth="1"/>
    <col min="14604" max="14604" width="8.42578125" style="2" customWidth="1"/>
    <col min="14605" max="14605" width="8.28515625" style="2" bestFit="1" customWidth="1"/>
    <col min="14606" max="14607" width="9" style="2" customWidth="1"/>
    <col min="14608" max="14608" width="7.140625" style="2" customWidth="1"/>
    <col min="14609" max="14609" width="9.140625" style="2" customWidth="1"/>
    <col min="14610" max="14610" width="7.7109375" style="2" customWidth="1"/>
    <col min="14611" max="14611" width="7.5703125" style="2" customWidth="1"/>
    <col min="14612" max="14612" width="10" style="2" customWidth="1"/>
    <col min="14613" max="14614" width="10.140625" style="2" bestFit="1" customWidth="1"/>
    <col min="14615" max="14615" width="12.7109375" style="2" bestFit="1" customWidth="1"/>
    <col min="14616" max="14616" width="9.140625" style="2" customWidth="1"/>
    <col min="14617" max="14617" width="9" style="2" customWidth="1"/>
    <col min="14618" max="14618" width="8.85546875" style="2" customWidth="1"/>
    <col min="14619" max="14619" width="10.42578125" style="2" customWidth="1"/>
    <col min="14620" max="14620" width="8.7109375" style="2" customWidth="1"/>
    <col min="14621" max="14621" width="8.140625" style="2" customWidth="1"/>
    <col min="14622" max="14622" width="7.7109375" style="2" customWidth="1"/>
    <col min="14623" max="14623" width="9.7109375" style="2" customWidth="1"/>
    <col min="14624" max="14624" width="6.5703125" style="2" bestFit="1" customWidth="1"/>
    <col min="14625" max="14626" width="7.5703125" style="2" customWidth="1"/>
    <col min="14627" max="14627" width="7.7109375" style="2" customWidth="1"/>
    <col min="14628" max="14629" width="9.28515625" style="2" bestFit="1" customWidth="1"/>
    <col min="14630" max="14630" width="9.5703125" style="2" customWidth="1"/>
    <col min="14631" max="14631" width="9.140625" style="2" customWidth="1"/>
    <col min="14632" max="14633" width="7.85546875" style="2" customWidth="1"/>
    <col min="14634" max="14634" width="9.42578125" style="2" customWidth="1"/>
    <col min="14635" max="14635" width="10" style="2" customWidth="1"/>
    <col min="14636" max="14636" width="6.42578125" style="2" customWidth="1"/>
    <col min="14637" max="14637" width="9" style="2" customWidth="1"/>
    <col min="14638" max="14638" width="8.85546875" style="2" customWidth="1"/>
    <col min="14639" max="14639" width="7.7109375" style="2" customWidth="1"/>
    <col min="14640" max="14640" width="9.7109375" style="2" customWidth="1"/>
    <col min="14641" max="14641" width="9.42578125" style="2" customWidth="1"/>
    <col min="14642" max="14642" width="9.85546875" style="2" customWidth="1"/>
    <col min="14643" max="14643" width="7.7109375" style="2" customWidth="1"/>
    <col min="14644" max="14644" width="8.5703125" style="2" customWidth="1"/>
    <col min="14645" max="14645" width="9.140625" style="2" customWidth="1"/>
    <col min="14646" max="14646" width="10.140625" style="2" customWidth="1"/>
    <col min="14647" max="14647" width="10.42578125" style="2" customWidth="1"/>
    <col min="14648" max="14649" width="7.85546875" style="2" customWidth="1"/>
    <col min="14650" max="14650" width="8.28515625" style="2" customWidth="1"/>
    <col min="14651" max="14651" width="10.42578125" style="2" customWidth="1"/>
    <col min="14652" max="14653" width="7.85546875" style="2" customWidth="1"/>
    <col min="14654" max="14654" width="8.28515625" style="2" customWidth="1"/>
    <col min="14655" max="14655" width="10.42578125" style="2" customWidth="1"/>
    <col min="14656" max="14656" width="8.5703125" style="2" customWidth="1"/>
    <col min="14657" max="14657" width="8.85546875" style="2" customWidth="1"/>
    <col min="14658" max="14658" width="8.7109375" style="2" customWidth="1"/>
    <col min="14659" max="14659" width="7.140625" style="2" bestFit="1" customWidth="1"/>
    <col min="14660" max="14660" width="7.7109375" style="2" bestFit="1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8.85546875" style="2" customWidth="1"/>
    <col min="14665" max="14665" width="9.42578125" style="2" customWidth="1"/>
    <col min="14666" max="14667" width="7.7109375" style="2" bestFit="1" customWidth="1"/>
    <col min="14668" max="14668" width="8.85546875" style="2" customWidth="1"/>
    <col min="14669" max="14669" width="9.42578125" style="2" customWidth="1"/>
    <col min="14670" max="14671" width="7.7109375" style="2" bestFit="1" customWidth="1"/>
    <col min="14672" max="14672" width="9.140625" style="2" customWidth="1"/>
    <col min="14673" max="14673" width="10" style="2" customWidth="1"/>
    <col min="14674" max="14674" width="9.5703125" style="2" customWidth="1"/>
    <col min="14675" max="14675" width="9.28515625" style="2" bestFit="1" customWidth="1"/>
    <col min="14676" max="14676" width="9.28515625" style="2" customWidth="1"/>
    <col min="14677" max="14677" width="9.28515625" style="2" bestFit="1" customWidth="1"/>
    <col min="14678" max="14678" width="10.28515625" style="2" customWidth="1"/>
    <col min="14679" max="14679" width="7.7109375" style="2" bestFit="1" customWidth="1"/>
    <col min="14680" max="14680" width="8" style="2" customWidth="1"/>
    <col min="14681" max="14681" width="8.5703125" style="2" customWidth="1"/>
    <col min="14682" max="14682" width="9.7109375" style="2" customWidth="1"/>
    <col min="14683" max="14683" width="9.42578125" style="2" customWidth="1"/>
    <col min="14684" max="14684" width="9.140625" style="2" customWidth="1"/>
    <col min="14685" max="14685" width="11.42578125" style="2" customWidth="1"/>
    <col min="14686" max="14686" width="12.5703125" style="2" customWidth="1"/>
    <col min="14687" max="14687" width="10.28515625" style="2" customWidth="1"/>
    <col min="14688" max="14688" width="7.7109375" style="2" bestFit="1" customWidth="1"/>
    <col min="14689" max="14689" width="8.28515625" style="2" bestFit="1" customWidth="1"/>
    <col min="14690" max="14691" width="7.7109375" style="2" bestFit="1" customWidth="1"/>
    <col min="14692" max="14692" width="6.5703125" style="2" bestFit="1" customWidth="1"/>
    <col min="14693" max="14693" width="8.28515625" style="2" bestFit="1" customWidth="1"/>
    <col min="14694" max="14694" width="6.5703125" style="2" bestFit="1" customWidth="1"/>
    <col min="14695" max="14695" width="7.140625" style="2" bestFit="1" customWidth="1"/>
    <col min="14696" max="14696" width="7.7109375" style="2" bestFit="1" customWidth="1"/>
    <col min="14697" max="14697" width="8.28515625" style="2" bestFit="1" customWidth="1"/>
    <col min="14698" max="14700" width="7.7109375" style="2" bestFit="1" customWidth="1"/>
    <col min="14701" max="14701" width="8.28515625" style="2" bestFit="1" customWidth="1"/>
    <col min="14702" max="14703" width="7.7109375" style="2" bestFit="1" customWidth="1"/>
    <col min="14704" max="14705" width="9.85546875" style="2" customWidth="1"/>
    <col min="14706" max="14706" width="8.5703125" style="2" customWidth="1"/>
    <col min="14707" max="14708" width="8.85546875" style="2" customWidth="1"/>
    <col min="14709" max="14709" width="9.7109375" style="2" customWidth="1"/>
    <col min="14710" max="14710" width="8.5703125" style="2" customWidth="1"/>
    <col min="14711" max="14711" width="7.7109375" style="2" bestFit="1" customWidth="1"/>
    <col min="14712" max="14712" width="7.5703125" style="2" customWidth="1"/>
    <col min="14713" max="14713" width="8.28515625" style="2" bestFit="1" customWidth="1"/>
    <col min="14714" max="14714" width="8.28515625" style="2" customWidth="1"/>
    <col min="14715" max="14715" width="7.140625" style="2" bestFit="1" customWidth="1"/>
    <col min="14716" max="14716" width="9" style="2" customWidth="1"/>
    <col min="14717" max="14717" width="9.5703125" style="2" customWidth="1"/>
    <col min="14718" max="14718" width="9.7109375" style="2" customWidth="1"/>
    <col min="14719" max="14719" width="10.85546875" style="2" customWidth="1"/>
    <col min="14720" max="14720" width="10.42578125" style="2" customWidth="1"/>
    <col min="14721" max="14722" width="11.28515625" style="2" customWidth="1"/>
    <col min="14723" max="14723" width="11" style="2" customWidth="1"/>
    <col min="14724" max="14724" width="6.7109375" style="2" customWidth="1"/>
    <col min="14725" max="14727" width="9.85546875" style="2"/>
    <col min="14728" max="14728" width="13.140625" style="2" customWidth="1"/>
    <col min="14729" max="14805" width="9.85546875" style="2"/>
    <col min="14806" max="14806" width="27.5703125" style="2" customWidth="1"/>
    <col min="14807" max="14807" width="5.28515625" style="2" customWidth="1"/>
    <col min="14808" max="14809" width="9" style="2" customWidth="1"/>
    <col min="14810" max="14810" width="9.5703125" style="2" customWidth="1"/>
    <col min="14811" max="14811" width="9.7109375" style="2" customWidth="1"/>
    <col min="14812" max="14812" width="7.5703125" style="2" customWidth="1"/>
    <col min="14813" max="14813" width="10.42578125" style="2" customWidth="1"/>
    <col min="14814" max="14814" width="9.140625" style="2" bestFit="1" customWidth="1"/>
    <col min="14815" max="14815" width="7.28515625" style="2" customWidth="1"/>
    <col min="14816" max="14817" width="9.28515625" style="2" customWidth="1"/>
    <col min="14818" max="14818" width="9.5703125" style="2" customWidth="1"/>
    <col min="14819" max="14820" width="9" style="2" customWidth="1"/>
    <col min="14821" max="14821" width="8" style="2" customWidth="1"/>
    <col min="14822" max="14822" width="8.5703125" style="2" customWidth="1"/>
    <col min="14823" max="14823" width="8.28515625" style="2" customWidth="1"/>
    <col min="14824" max="14824" width="9.5703125" style="2" customWidth="1"/>
    <col min="14825" max="14825" width="8.42578125" style="2" customWidth="1"/>
    <col min="14826" max="14826" width="8.140625" style="2" customWidth="1"/>
    <col min="14827" max="14827" width="7.5703125" style="2" customWidth="1"/>
    <col min="14828" max="14828" width="9.140625" style="2" customWidth="1"/>
    <col min="14829" max="14829" width="9" style="2" customWidth="1"/>
    <col min="14830" max="14830" width="8.5703125" style="2" customWidth="1"/>
    <col min="14831" max="14831" width="7.85546875" style="2" customWidth="1"/>
    <col min="14832" max="14832" width="6.7109375" style="2" customWidth="1"/>
    <col min="14833" max="14833" width="5.7109375" style="2" customWidth="1"/>
    <col min="14834" max="14834" width="6.28515625" style="2" customWidth="1"/>
    <col min="14835" max="14835" width="6.5703125" style="2" customWidth="1"/>
    <col min="14836" max="14836" width="8.7109375" style="2" customWidth="1"/>
    <col min="14837" max="14837" width="9" style="2" customWidth="1"/>
    <col min="14838" max="14838" width="8.28515625" style="2" customWidth="1"/>
    <col min="14839" max="14839" width="8.42578125" style="2" customWidth="1"/>
    <col min="14840" max="14840" width="9.85546875" style="2" customWidth="1"/>
    <col min="14841" max="14841" width="10" style="2" customWidth="1"/>
    <col min="14842" max="14842" width="10.140625" style="2" customWidth="1"/>
    <col min="14843" max="14843" width="10.5703125" style="2" customWidth="1"/>
    <col min="14844" max="14844" width="8.140625" style="2" customWidth="1"/>
    <col min="14845" max="14845" width="7.85546875" style="2" customWidth="1"/>
    <col min="14846" max="14846" width="9" style="2" customWidth="1"/>
    <col min="14847" max="14847" width="10" style="2" customWidth="1"/>
    <col min="14848" max="14848" width="10.28515625" style="2" customWidth="1"/>
    <col min="14849" max="14849" width="10.140625" style="2" customWidth="1"/>
    <col min="14850" max="14850" width="10.5703125" style="2" customWidth="1"/>
    <col min="14851" max="14851" width="10.28515625" style="2" customWidth="1"/>
    <col min="14852" max="14852" width="9.7109375" style="2" customWidth="1"/>
    <col min="14853" max="14853" width="9.140625" style="2" bestFit="1" customWidth="1"/>
    <col min="14854" max="14854" width="9.28515625" style="2" customWidth="1"/>
    <col min="14855" max="14855" width="9" style="2" customWidth="1"/>
    <col min="14856" max="14856" width="8" style="2" customWidth="1"/>
    <col min="14857" max="14857" width="8.28515625" style="2" customWidth="1"/>
    <col min="14858" max="14858" width="7.85546875" style="2" customWidth="1"/>
    <col min="14859" max="14859" width="9" style="2" customWidth="1"/>
    <col min="14860" max="14860" width="8.42578125" style="2" customWidth="1"/>
    <col min="14861" max="14861" width="8.28515625" style="2" bestFit="1" customWidth="1"/>
    <col min="14862" max="14863" width="9" style="2" customWidth="1"/>
    <col min="14864" max="14864" width="7.140625" style="2" customWidth="1"/>
    <col min="14865" max="14865" width="9.140625" style="2" customWidth="1"/>
    <col min="14866" max="14866" width="7.7109375" style="2" customWidth="1"/>
    <col min="14867" max="14867" width="7.5703125" style="2" customWidth="1"/>
    <col min="14868" max="14868" width="10" style="2" customWidth="1"/>
    <col min="14869" max="14870" width="10.140625" style="2" bestFit="1" customWidth="1"/>
    <col min="14871" max="14871" width="12.7109375" style="2" bestFit="1" customWidth="1"/>
    <col min="14872" max="14872" width="9.140625" style="2" customWidth="1"/>
    <col min="14873" max="14873" width="9" style="2" customWidth="1"/>
    <col min="14874" max="14874" width="8.85546875" style="2" customWidth="1"/>
    <col min="14875" max="14875" width="10.42578125" style="2" customWidth="1"/>
    <col min="14876" max="14876" width="8.7109375" style="2" customWidth="1"/>
    <col min="14877" max="14877" width="8.140625" style="2" customWidth="1"/>
    <col min="14878" max="14878" width="7.7109375" style="2" customWidth="1"/>
    <col min="14879" max="14879" width="9.7109375" style="2" customWidth="1"/>
    <col min="14880" max="14880" width="6.5703125" style="2" bestFit="1" customWidth="1"/>
    <col min="14881" max="14882" width="7.5703125" style="2" customWidth="1"/>
    <col min="14883" max="14883" width="7.7109375" style="2" customWidth="1"/>
    <col min="14884" max="14885" width="9.28515625" style="2" bestFit="1" customWidth="1"/>
    <col min="14886" max="14886" width="9.5703125" style="2" customWidth="1"/>
    <col min="14887" max="14887" width="9.140625" style="2" customWidth="1"/>
    <col min="14888" max="14889" width="7.85546875" style="2" customWidth="1"/>
    <col min="14890" max="14890" width="9.42578125" style="2" customWidth="1"/>
    <col min="14891" max="14891" width="10" style="2" customWidth="1"/>
    <col min="14892" max="14892" width="6.42578125" style="2" customWidth="1"/>
    <col min="14893" max="14893" width="9" style="2" customWidth="1"/>
    <col min="14894" max="14894" width="8.85546875" style="2" customWidth="1"/>
    <col min="14895" max="14895" width="7.7109375" style="2" customWidth="1"/>
    <col min="14896" max="14896" width="9.7109375" style="2" customWidth="1"/>
    <col min="14897" max="14897" width="9.42578125" style="2" customWidth="1"/>
    <col min="14898" max="14898" width="9.85546875" style="2" customWidth="1"/>
    <col min="14899" max="14899" width="7.7109375" style="2" customWidth="1"/>
    <col min="14900" max="14900" width="8.5703125" style="2" customWidth="1"/>
    <col min="14901" max="14901" width="9.140625" style="2" customWidth="1"/>
    <col min="14902" max="14902" width="10.140625" style="2" customWidth="1"/>
    <col min="14903" max="14903" width="10.42578125" style="2" customWidth="1"/>
    <col min="14904" max="14905" width="7.85546875" style="2" customWidth="1"/>
    <col min="14906" max="14906" width="8.28515625" style="2" customWidth="1"/>
    <col min="14907" max="14907" width="10.42578125" style="2" customWidth="1"/>
    <col min="14908" max="14909" width="7.85546875" style="2" customWidth="1"/>
    <col min="14910" max="14910" width="8.28515625" style="2" customWidth="1"/>
    <col min="14911" max="14911" width="10.42578125" style="2" customWidth="1"/>
    <col min="14912" max="14912" width="8.5703125" style="2" customWidth="1"/>
    <col min="14913" max="14913" width="8.85546875" style="2" customWidth="1"/>
    <col min="14914" max="14914" width="8.7109375" style="2" customWidth="1"/>
    <col min="14915" max="14915" width="7.140625" style="2" bestFit="1" customWidth="1"/>
    <col min="14916" max="14916" width="7.7109375" style="2" bestFit="1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8.85546875" style="2" customWidth="1"/>
    <col min="14921" max="14921" width="9.42578125" style="2" customWidth="1"/>
    <col min="14922" max="14923" width="7.7109375" style="2" bestFit="1" customWidth="1"/>
    <col min="14924" max="14924" width="8.85546875" style="2" customWidth="1"/>
    <col min="14925" max="14925" width="9.42578125" style="2" customWidth="1"/>
    <col min="14926" max="14927" width="7.7109375" style="2" bestFit="1" customWidth="1"/>
    <col min="14928" max="14928" width="9.140625" style="2" customWidth="1"/>
    <col min="14929" max="14929" width="10" style="2" customWidth="1"/>
    <col min="14930" max="14930" width="9.5703125" style="2" customWidth="1"/>
    <col min="14931" max="14931" width="9.28515625" style="2" bestFit="1" customWidth="1"/>
    <col min="14932" max="14932" width="9.28515625" style="2" customWidth="1"/>
    <col min="14933" max="14933" width="9.28515625" style="2" bestFit="1" customWidth="1"/>
    <col min="14934" max="14934" width="10.28515625" style="2" customWidth="1"/>
    <col min="14935" max="14935" width="7.7109375" style="2" bestFit="1" customWidth="1"/>
    <col min="14936" max="14936" width="8" style="2" customWidth="1"/>
    <col min="14937" max="14937" width="8.5703125" style="2" customWidth="1"/>
    <col min="14938" max="14938" width="9.7109375" style="2" customWidth="1"/>
    <col min="14939" max="14939" width="9.42578125" style="2" customWidth="1"/>
    <col min="14940" max="14940" width="9.140625" style="2" customWidth="1"/>
    <col min="14941" max="14941" width="11.42578125" style="2" customWidth="1"/>
    <col min="14942" max="14942" width="12.5703125" style="2" customWidth="1"/>
    <col min="14943" max="14943" width="10.28515625" style="2" customWidth="1"/>
    <col min="14944" max="14944" width="7.7109375" style="2" bestFit="1" customWidth="1"/>
    <col min="14945" max="14945" width="8.28515625" style="2" bestFit="1" customWidth="1"/>
    <col min="14946" max="14947" width="7.7109375" style="2" bestFit="1" customWidth="1"/>
    <col min="14948" max="14948" width="6.5703125" style="2" bestFit="1" customWidth="1"/>
    <col min="14949" max="14949" width="8.28515625" style="2" bestFit="1" customWidth="1"/>
    <col min="14950" max="14950" width="6.5703125" style="2" bestFit="1" customWidth="1"/>
    <col min="14951" max="14951" width="7.140625" style="2" bestFit="1" customWidth="1"/>
    <col min="14952" max="14952" width="7.7109375" style="2" bestFit="1" customWidth="1"/>
    <col min="14953" max="14953" width="8.28515625" style="2" bestFit="1" customWidth="1"/>
    <col min="14954" max="14956" width="7.7109375" style="2" bestFit="1" customWidth="1"/>
    <col min="14957" max="14957" width="8.28515625" style="2" bestFit="1" customWidth="1"/>
    <col min="14958" max="14959" width="7.7109375" style="2" bestFit="1" customWidth="1"/>
    <col min="14960" max="14961" width="9.85546875" style="2" customWidth="1"/>
    <col min="14962" max="14962" width="8.5703125" style="2" customWidth="1"/>
    <col min="14963" max="14964" width="8.85546875" style="2" customWidth="1"/>
    <col min="14965" max="14965" width="9.7109375" style="2" customWidth="1"/>
    <col min="14966" max="14966" width="8.5703125" style="2" customWidth="1"/>
    <col min="14967" max="14967" width="7.7109375" style="2" bestFit="1" customWidth="1"/>
    <col min="14968" max="14968" width="7.5703125" style="2" customWidth="1"/>
    <col min="14969" max="14969" width="8.28515625" style="2" bestFit="1" customWidth="1"/>
    <col min="14970" max="14970" width="8.28515625" style="2" customWidth="1"/>
    <col min="14971" max="14971" width="7.140625" style="2" bestFit="1" customWidth="1"/>
    <col min="14972" max="14972" width="9" style="2" customWidth="1"/>
    <col min="14973" max="14973" width="9.5703125" style="2" customWidth="1"/>
    <col min="14974" max="14974" width="9.7109375" style="2" customWidth="1"/>
    <col min="14975" max="14975" width="10.85546875" style="2" customWidth="1"/>
    <col min="14976" max="14976" width="10.42578125" style="2" customWidth="1"/>
    <col min="14977" max="14978" width="11.28515625" style="2" customWidth="1"/>
    <col min="14979" max="14979" width="11" style="2" customWidth="1"/>
    <col min="14980" max="14980" width="6.7109375" style="2" customWidth="1"/>
    <col min="14981" max="14983" width="9.85546875" style="2"/>
    <col min="14984" max="14984" width="13.140625" style="2" customWidth="1"/>
    <col min="14985" max="15061" width="9.85546875" style="2"/>
    <col min="15062" max="15062" width="27.5703125" style="2" customWidth="1"/>
    <col min="15063" max="15063" width="5.28515625" style="2" customWidth="1"/>
    <col min="15064" max="15065" width="9" style="2" customWidth="1"/>
    <col min="15066" max="15066" width="9.5703125" style="2" customWidth="1"/>
    <col min="15067" max="15067" width="9.7109375" style="2" customWidth="1"/>
    <col min="15068" max="15068" width="7.5703125" style="2" customWidth="1"/>
    <col min="15069" max="15069" width="10.42578125" style="2" customWidth="1"/>
    <col min="15070" max="15070" width="9.140625" style="2" bestFit="1" customWidth="1"/>
    <col min="15071" max="15071" width="7.28515625" style="2" customWidth="1"/>
    <col min="15072" max="15073" width="9.28515625" style="2" customWidth="1"/>
    <col min="15074" max="15074" width="9.5703125" style="2" customWidth="1"/>
    <col min="15075" max="15076" width="9" style="2" customWidth="1"/>
    <col min="15077" max="15077" width="8" style="2" customWidth="1"/>
    <col min="15078" max="15078" width="8.5703125" style="2" customWidth="1"/>
    <col min="15079" max="15079" width="8.28515625" style="2" customWidth="1"/>
    <col min="15080" max="15080" width="9.5703125" style="2" customWidth="1"/>
    <col min="15081" max="15081" width="8.42578125" style="2" customWidth="1"/>
    <col min="15082" max="15082" width="8.140625" style="2" customWidth="1"/>
    <col min="15083" max="15083" width="7.5703125" style="2" customWidth="1"/>
    <col min="15084" max="15084" width="9.140625" style="2" customWidth="1"/>
    <col min="15085" max="15085" width="9" style="2" customWidth="1"/>
    <col min="15086" max="15086" width="8.5703125" style="2" customWidth="1"/>
    <col min="15087" max="15087" width="7.85546875" style="2" customWidth="1"/>
    <col min="15088" max="15088" width="6.7109375" style="2" customWidth="1"/>
    <col min="15089" max="15089" width="5.7109375" style="2" customWidth="1"/>
    <col min="15090" max="15090" width="6.28515625" style="2" customWidth="1"/>
    <col min="15091" max="15091" width="6.5703125" style="2" customWidth="1"/>
    <col min="15092" max="15092" width="8.7109375" style="2" customWidth="1"/>
    <col min="15093" max="15093" width="9" style="2" customWidth="1"/>
    <col min="15094" max="15094" width="8.28515625" style="2" customWidth="1"/>
    <col min="15095" max="15095" width="8.42578125" style="2" customWidth="1"/>
    <col min="15096" max="15096" width="9.85546875" style="2" customWidth="1"/>
    <col min="15097" max="15097" width="10" style="2" customWidth="1"/>
    <col min="15098" max="15098" width="10.140625" style="2" customWidth="1"/>
    <col min="15099" max="15099" width="10.5703125" style="2" customWidth="1"/>
    <col min="15100" max="15100" width="8.140625" style="2" customWidth="1"/>
    <col min="15101" max="15101" width="7.85546875" style="2" customWidth="1"/>
    <col min="15102" max="15102" width="9" style="2" customWidth="1"/>
    <col min="15103" max="15103" width="10" style="2" customWidth="1"/>
    <col min="15104" max="15104" width="10.28515625" style="2" customWidth="1"/>
    <col min="15105" max="15105" width="10.140625" style="2" customWidth="1"/>
    <col min="15106" max="15106" width="10.5703125" style="2" customWidth="1"/>
    <col min="15107" max="15107" width="10.28515625" style="2" customWidth="1"/>
    <col min="15108" max="15108" width="9.7109375" style="2" customWidth="1"/>
    <col min="15109" max="15109" width="9.140625" style="2" bestFit="1" customWidth="1"/>
    <col min="15110" max="15110" width="9.28515625" style="2" customWidth="1"/>
    <col min="15111" max="15111" width="9" style="2" customWidth="1"/>
    <col min="15112" max="15112" width="8" style="2" customWidth="1"/>
    <col min="15113" max="15113" width="8.28515625" style="2" customWidth="1"/>
    <col min="15114" max="15114" width="7.85546875" style="2" customWidth="1"/>
    <col min="15115" max="15115" width="9" style="2" customWidth="1"/>
    <col min="15116" max="15116" width="8.42578125" style="2" customWidth="1"/>
    <col min="15117" max="15117" width="8.28515625" style="2" bestFit="1" customWidth="1"/>
    <col min="15118" max="15119" width="9" style="2" customWidth="1"/>
    <col min="15120" max="15120" width="7.140625" style="2" customWidth="1"/>
    <col min="15121" max="15121" width="9.140625" style="2" customWidth="1"/>
    <col min="15122" max="15122" width="7.7109375" style="2" customWidth="1"/>
    <col min="15123" max="15123" width="7.5703125" style="2" customWidth="1"/>
    <col min="15124" max="15124" width="10" style="2" customWidth="1"/>
    <col min="15125" max="15126" width="10.140625" style="2" bestFit="1" customWidth="1"/>
    <col min="15127" max="15127" width="12.7109375" style="2" bestFit="1" customWidth="1"/>
    <col min="15128" max="15128" width="9.140625" style="2" customWidth="1"/>
    <col min="15129" max="15129" width="9" style="2" customWidth="1"/>
    <col min="15130" max="15130" width="8.85546875" style="2" customWidth="1"/>
    <col min="15131" max="15131" width="10.42578125" style="2" customWidth="1"/>
    <col min="15132" max="15132" width="8.7109375" style="2" customWidth="1"/>
    <col min="15133" max="15133" width="8.140625" style="2" customWidth="1"/>
    <col min="15134" max="15134" width="7.7109375" style="2" customWidth="1"/>
    <col min="15135" max="15135" width="9.7109375" style="2" customWidth="1"/>
    <col min="15136" max="15136" width="6.5703125" style="2" bestFit="1" customWidth="1"/>
    <col min="15137" max="15138" width="7.5703125" style="2" customWidth="1"/>
    <col min="15139" max="15139" width="7.7109375" style="2" customWidth="1"/>
    <col min="15140" max="15141" width="9.28515625" style="2" bestFit="1" customWidth="1"/>
    <col min="15142" max="15142" width="9.5703125" style="2" customWidth="1"/>
    <col min="15143" max="15143" width="9.140625" style="2" customWidth="1"/>
    <col min="15144" max="15145" width="7.85546875" style="2" customWidth="1"/>
    <col min="15146" max="15146" width="9.42578125" style="2" customWidth="1"/>
    <col min="15147" max="15147" width="10" style="2" customWidth="1"/>
    <col min="15148" max="15148" width="6.42578125" style="2" customWidth="1"/>
    <col min="15149" max="15149" width="9" style="2" customWidth="1"/>
    <col min="15150" max="15150" width="8.85546875" style="2" customWidth="1"/>
    <col min="15151" max="15151" width="7.7109375" style="2" customWidth="1"/>
    <col min="15152" max="15152" width="9.7109375" style="2" customWidth="1"/>
    <col min="15153" max="15153" width="9.42578125" style="2" customWidth="1"/>
    <col min="15154" max="15154" width="9.85546875" style="2" customWidth="1"/>
    <col min="15155" max="15155" width="7.7109375" style="2" customWidth="1"/>
    <col min="15156" max="15156" width="8.5703125" style="2" customWidth="1"/>
    <col min="15157" max="15157" width="9.140625" style="2" customWidth="1"/>
    <col min="15158" max="15158" width="10.140625" style="2" customWidth="1"/>
    <col min="15159" max="15159" width="10.42578125" style="2" customWidth="1"/>
    <col min="15160" max="15161" width="7.85546875" style="2" customWidth="1"/>
    <col min="15162" max="15162" width="8.28515625" style="2" customWidth="1"/>
    <col min="15163" max="15163" width="10.42578125" style="2" customWidth="1"/>
    <col min="15164" max="15165" width="7.85546875" style="2" customWidth="1"/>
    <col min="15166" max="15166" width="8.28515625" style="2" customWidth="1"/>
    <col min="15167" max="15167" width="10.42578125" style="2" customWidth="1"/>
    <col min="15168" max="15168" width="8.5703125" style="2" customWidth="1"/>
    <col min="15169" max="15169" width="8.85546875" style="2" customWidth="1"/>
    <col min="15170" max="15170" width="8.7109375" style="2" customWidth="1"/>
    <col min="15171" max="15171" width="7.140625" style="2" bestFit="1" customWidth="1"/>
    <col min="15172" max="15172" width="7.7109375" style="2" bestFit="1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8.85546875" style="2" customWidth="1"/>
    <col min="15177" max="15177" width="9.42578125" style="2" customWidth="1"/>
    <col min="15178" max="15179" width="7.7109375" style="2" bestFit="1" customWidth="1"/>
    <col min="15180" max="15180" width="8.85546875" style="2" customWidth="1"/>
    <col min="15181" max="15181" width="9.42578125" style="2" customWidth="1"/>
    <col min="15182" max="15183" width="7.7109375" style="2" bestFit="1" customWidth="1"/>
    <col min="15184" max="15184" width="9.140625" style="2" customWidth="1"/>
    <col min="15185" max="15185" width="10" style="2" customWidth="1"/>
    <col min="15186" max="15186" width="9.5703125" style="2" customWidth="1"/>
    <col min="15187" max="15187" width="9.28515625" style="2" bestFit="1" customWidth="1"/>
    <col min="15188" max="15188" width="9.28515625" style="2" customWidth="1"/>
    <col min="15189" max="15189" width="9.28515625" style="2" bestFit="1" customWidth="1"/>
    <col min="15190" max="15190" width="10.28515625" style="2" customWidth="1"/>
    <col min="15191" max="15191" width="7.7109375" style="2" bestFit="1" customWidth="1"/>
    <col min="15192" max="15192" width="8" style="2" customWidth="1"/>
    <col min="15193" max="15193" width="8.5703125" style="2" customWidth="1"/>
    <col min="15194" max="15194" width="9.7109375" style="2" customWidth="1"/>
    <col min="15195" max="15195" width="9.42578125" style="2" customWidth="1"/>
    <col min="15196" max="15196" width="9.140625" style="2" customWidth="1"/>
    <col min="15197" max="15197" width="11.42578125" style="2" customWidth="1"/>
    <col min="15198" max="15198" width="12.5703125" style="2" customWidth="1"/>
    <col min="15199" max="15199" width="10.28515625" style="2" customWidth="1"/>
    <col min="15200" max="15200" width="7.7109375" style="2" bestFit="1" customWidth="1"/>
    <col min="15201" max="15201" width="8.28515625" style="2" bestFit="1" customWidth="1"/>
    <col min="15202" max="15203" width="7.7109375" style="2" bestFit="1" customWidth="1"/>
    <col min="15204" max="15204" width="6.5703125" style="2" bestFit="1" customWidth="1"/>
    <col min="15205" max="15205" width="8.28515625" style="2" bestFit="1" customWidth="1"/>
    <col min="15206" max="15206" width="6.5703125" style="2" bestFit="1" customWidth="1"/>
    <col min="15207" max="15207" width="7.140625" style="2" bestFit="1" customWidth="1"/>
    <col min="15208" max="15208" width="7.7109375" style="2" bestFit="1" customWidth="1"/>
    <col min="15209" max="15209" width="8.28515625" style="2" bestFit="1" customWidth="1"/>
    <col min="15210" max="15212" width="7.7109375" style="2" bestFit="1" customWidth="1"/>
    <col min="15213" max="15213" width="8.28515625" style="2" bestFit="1" customWidth="1"/>
    <col min="15214" max="15215" width="7.7109375" style="2" bestFit="1" customWidth="1"/>
    <col min="15216" max="15217" width="9.85546875" style="2" customWidth="1"/>
    <col min="15218" max="15218" width="8.5703125" style="2" customWidth="1"/>
    <col min="15219" max="15220" width="8.85546875" style="2" customWidth="1"/>
    <col min="15221" max="15221" width="9.7109375" style="2" customWidth="1"/>
    <col min="15222" max="15222" width="8.5703125" style="2" customWidth="1"/>
    <col min="15223" max="15223" width="7.7109375" style="2" bestFit="1" customWidth="1"/>
    <col min="15224" max="15224" width="7.5703125" style="2" customWidth="1"/>
    <col min="15225" max="15225" width="8.28515625" style="2" bestFit="1" customWidth="1"/>
    <col min="15226" max="15226" width="8.28515625" style="2" customWidth="1"/>
    <col min="15227" max="15227" width="7.140625" style="2" bestFit="1" customWidth="1"/>
    <col min="15228" max="15228" width="9" style="2" customWidth="1"/>
    <col min="15229" max="15229" width="9.5703125" style="2" customWidth="1"/>
    <col min="15230" max="15230" width="9.7109375" style="2" customWidth="1"/>
    <col min="15231" max="15231" width="10.85546875" style="2" customWidth="1"/>
    <col min="15232" max="15232" width="10.42578125" style="2" customWidth="1"/>
    <col min="15233" max="15234" width="11.28515625" style="2" customWidth="1"/>
    <col min="15235" max="15235" width="11" style="2" customWidth="1"/>
    <col min="15236" max="15236" width="6.7109375" style="2" customWidth="1"/>
    <col min="15237" max="15239" width="9.85546875" style="2"/>
    <col min="15240" max="15240" width="13.140625" style="2" customWidth="1"/>
    <col min="15241" max="15317" width="9.85546875" style="2"/>
    <col min="15318" max="15318" width="27.5703125" style="2" customWidth="1"/>
    <col min="15319" max="15319" width="5.28515625" style="2" customWidth="1"/>
    <col min="15320" max="15321" width="9" style="2" customWidth="1"/>
    <col min="15322" max="15322" width="9.5703125" style="2" customWidth="1"/>
    <col min="15323" max="15323" width="9.7109375" style="2" customWidth="1"/>
    <col min="15324" max="15324" width="7.5703125" style="2" customWidth="1"/>
    <col min="15325" max="15325" width="10.42578125" style="2" customWidth="1"/>
    <col min="15326" max="15326" width="9.140625" style="2" bestFit="1" customWidth="1"/>
    <col min="15327" max="15327" width="7.28515625" style="2" customWidth="1"/>
    <col min="15328" max="15329" width="9.28515625" style="2" customWidth="1"/>
    <col min="15330" max="15330" width="9.5703125" style="2" customWidth="1"/>
    <col min="15331" max="15332" width="9" style="2" customWidth="1"/>
    <col min="15333" max="15333" width="8" style="2" customWidth="1"/>
    <col min="15334" max="15334" width="8.5703125" style="2" customWidth="1"/>
    <col min="15335" max="15335" width="8.28515625" style="2" customWidth="1"/>
    <col min="15336" max="15336" width="9.5703125" style="2" customWidth="1"/>
    <col min="15337" max="15337" width="8.42578125" style="2" customWidth="1"/>
    <col min="15338" max="15338" width="8.140625" style="2" customWidth="1"/>
    <col min="15339" max="15339" width="7.5703125" style="2" customWidth="1"/>
    <col min="15340" max="15340" width="9.140625" style="2" customWidth="1"/>
    <col min="15341" max="15341" width="9" style="2" customWidth="1"/>
    <col min="15342" max="15342" width="8.5703125" style="2" customWidth="1"/>
    <col min="15343" max="15343" width="7.85546875" style="2" customWidth="1"/>
    <col min="15344" max="15344" width="6.7109375" style="2" customWidth="1"/>
    <col min="15345" max="15345" width="5.7109375" style="2" customWidth="1"/>
    <col min="15346" max="15346" width="6.28515625" style="2" customWidth="1"/>
    <col min="15347" max="15347" width="6.5703125" style="2" customWidth="1"/>
    <col min="15348" max="15348" width="8.7109375" style="2" customWidth="1"/>
    <col min="15349" max="15349" width="9" style="2" customWidth="1"/>
    <col min="15350" max="15350" width="8.28515625" style="2" customWidth="1"/>
    <col min="15351" max="15351" width="8.42578125" style="2" customWidth="1"/>
    <col min="15352" max="15352" width="9.85546875" style="2" customWidth="1"/>
    <col min="15353" max="15353" width="10" style="2" customWidth="1"/>
    <col min="15354" max="15354" width="10.140625" style="2" customWidth="1"/>
    <col min="15355" max="15355" width="10.5703125" style="2" customWidth="1"/>
    <col min="15356" max="15356" width="8.140625" style="2" customWidth="1"/>
    <col min="15357" max="15357" width="7.85546875" style="2" customWidth="1"/>
    <col min="15358" max="15358" width="9" style="2" customWidth="1"/>
    <col min="15359" max="15359" width="10" style="2" customWidth="1"/>
    <col min="15360" max="15360" width="10.28515625" style="2" customWidth="1"/>
    <col min="15361" max="15361" width="10.140625" style="2" customWidth="1"/>
    <col min="15362" max="15362" width="10.5703125" style="2" customWidth="1"/>
    <col min="15363" max="15363" width="10.28515625" style="2" customWidth="1"/>
    <col min="15364" max="15364" width="9.7109375" style="2" customWidth="1"/>
    <col min="15365" max="15365" width="9.140625" style="2" bestFit="1" customWidth="1"/>
    <col min="15366" max="15366" width="9.28515625" style="2" customWidth="1"/>
    <col min="15367" max="15367" width="9" style="2" customWidth="1"/>
    <col min="15368" max="15368" width="8" style="2" customWidth="1"/>
    <col min="15369" max="15369" width="8.28515625" style="2" customWidth="1"/>
    <col min="15370" max="15370" width="7.85546875" style="2" customWidth="1"/>
    <col min="15371" max="15371" width="9" style="2" customWidth="1"/>
    <col min="15372" max="15372" width="8.42578125" style="2" customWidth="1"/>
    <col min="15373" max="15373" width="8.28515625" style="2" bestFit="1" customWidth="1"/>
    <col min="15374" max="15375" width="9" style="2" customWidth="1"/>
    <col min="15376" max="15376" width="7.140625" style="2" customWidth="1"/>
    <col min="15377" max="15377" width="9.140625" style="2" customWidth="1"/>
    <col min="15378" max="15378" width="7.7109375" style="2" customWidth="1"/>
    <col min="15379" max="15379" width="7.5703125" style="2" customWidth="1"/>
    <col min="15380" max="15380" width="10" style="2" customWidth="1"/>
    <col min="15381" max="15382" width="10.140625" style="2" bestFit="1" customWidth="1"/>
    <col min="15383" max="15383" width="12.7109375" style="2" bestFit="1" customWidth="1"/>
    <col min="15384" max="15384" width="9.140625" style="2" customWidth="1"/>
    <col min="15385" max="15385" width="9" style="2" customWidth="1"/>
    <col min="15386" max="15386" width="8.85546875" style="2" customWidth="1"/>
    <col min="15387" max="15387" width="10.42578125" style="2" customWidth="1"/>
    <col min="15388" max="15388" width="8.7109375" style="2" customWidth="1"/>
    <col min="15389" max="15389" width="8.140625" style="2" customWidth="1"/>
    <col min="15390" max="15390" width="7.7109375" style="2" customWidth="1"/>
    <col min="15391" max="15391" width="9.7109375" style="2" customWidth="1"/>
    <col min="15392" max="15392" width="6.5703125" style="2" bestFit="1" customWidth="1"/>
    <col min="15393" max="15394" width="7.5703125" style="2" customWidth="1"/>
    <col min="15395" max="15395" width="7.7109375" style="2" customWidth="1"/>
    <col min="15396" max="15397" width="9.28515625" style="2" bestFit="1" customWidth="1"/>
    <col min="15398" max="15398" width="9.5703125" style="2" customWidth="1"/>
    <col min="15399" max="15399" width="9.140625" style="2" customWidth="1"/>
    <col min="15400" max="15401" width="7.85546875" style="2" customWidth="1"/>
    <col min="15402" max="15402" width="9.42578125" style="2" customWidth="1"/>
    <col min="15403" max="15403" width="10" style="2" customWidth="1"/>
    <col min="15404" max="15404" width="6.42578125" style="2" customWidth="1"/>
    <col min="15405" max="15405" width="9" style="2" customWidth="1"/>
    <col min="15406" max="15406" width="8.85546875" style="2" customWidth="1"/>
    <col min="15407" max="15407" width="7.7109375" style="2" customWidth="1"/>
    <col min="15408" max="15408" width="9.7109375" style="2" customWidth="1"/>
    <col min="15409" max="15409" width="9.42578125" style="2" customWidth="1"/>
    <col min="15410" max="15410" width="9.85546875" style="2" customWidth="1"/>
    <col min="15411" max="15411" width="7.7109375" style="2" customWidth="1"/>
    <col min="15412" max="15412" width="8.5703125" style="2" customWidth="1"/>
    <col min="15413" max="15413" width="9.140625" style="2" customWidth="1"/>
    <col min="15414" max="15414" width="10.140625" style="2" customWidth="1"/>
    <col min="15415" max="15415" width="10.42578125" style="2" customWidth="1"/>
    <col min="15416" max="15417" width="7.85546875" style="2" customWidth="1"/>
    <col min="15418" max="15418" width="8.28515625" style="2" customWidth="1"/>
    <col min="15419" max="15419" width="10.42578125" style="2" customWidth="1"/>
    <col min="15420" max="15421" width="7.85546875" style="2" customWidth="1"/>
    <col min="15422" max="15422" width="8.28515625" style="2" customWidth="1"/>
    <col min="15423" max="15423" width="10.42578125" style="2" customWidth="1"/>
    <col min="15424" max="15424" width="8.5703125" style="2" customWidth="1"/>
    <col min="15425" max="15425" width="8.85546875" style="2" customWidth="1"/>
    <col min="15426" max="15426" width="8.7109375" style="2" customWidth="1"/>
    <col min="15427" max="15427" width="7.140625" style="2" bestFit="1" customWidth="1"/>
    <col min="15428" max="15428" width="7.7109375" style="2" bestFit="1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8.85546875" style="2" customWidth="1"/>
    <col min="15433" max="15433" width="9.42578125" style="2" customWidth="1"/>
    <col min="15434" max="15435" width="7.7109375" style="2" bestFit="1" customWidth="1"/>
    <col min="15436" max="15436" width="8.85546875" style="2" customWidth="1"/>
    <col min="15437" max="15437" width="9.42578125" style="2" customWidth="1"/>
    <col min="15438" max="15439" width="7.7109375" style="2" bestFit="1" customWidth="1"/>
    <col min="15440" max="15440" width="9.140625" style="2" customWidth="1"/>
    <col min="15441" max="15441" width="10" style="2" customWidth="1"/>
    <col min="15442" max="15442" width="9.5703125" style="2" customWidth="1"/>
    <col min="15443" max="15443" width="9.28515625" style="2" bestFit="1" customWidth="1"/>
    <col min="15444" max="15444" width="9.28515625" style="2" customWidth="1"/>
    <col min="15445" max="15445" width="9.28515625" style="2" bestFit="1" customWidth="1"/>
    <col min="15446" max="15446" width="10.28515625" style="2" customWidth="1"/>
    <col min="15447" max="15447" width="7.7109375" style="2" bestFit="1" customWidth="1"/>
    <col min="15448" max="15448" width="8" style="2" customWidth="1"/>
    <col min="15449" max="15449" width="8.5703125" style="2" customWidth="1"/>
    <col min="15450" max="15450" width="9.7109375" style="2" customWidth="1"/>
    <col min="15451" max="15451" width="9.42578125" style="2" customWidth="1"/>
    <col min="15452" max="15452" width="9.140625" style="2" customWidth="1"/>
    <col min="15453" max="15453" width="11.42578125" style="2" customWidth="1"/>
    <col min="15454" max="15454" width="12.5703125" style="2" customWidth="1"/>
    <col min="15455" max="15455" width="10.28515625" style="2" customWidth="1"/>
    <col min="15456" max="15456" width="7.7109375" style="2" bestFit="1" customWidth="1"/>
    <col min="15457" max="15457" width="8.28515625" style="2" bestFit="1" customWidth="1"/>
    <col min="15458" max="15459" width="7.7109375" style="2" bestFit="1" customWidth="1"/>
    <col min="15460" max="15460" width="6.5703125" style="2" bestFit="1" customWidth="1"/>
    <col min="15461" max="15461" width="8.28515625" style="2" bestFit="1" customWidth="1"/>
    <col min="15462" max="15462" width="6.5703125" style="2" bestFit="1" customWidth="1"/>
    <col min="15463" max="15463" width="7.140625" style="2" bestFit="1" customWidth="1"/>
    <col min="15464" max="15464" width="7.7109375" style="2" bestFit="1" customWidth="1"/>
    <col min="15465" max="15465" width="8.28515625" style="2" bestFit="1" customWidth="1"/>
    <col min="15466" max="15468" width="7.7109375" style="2" bestFit="1" customWidth="1"/>
    <col min="15469" max="15469" width="8.28515625" style="2" bestFit="1" customWidth="1"/>
    <col min="15470" max="15471" width="7.7109375" style="2" bestFit="1" customWidth="1"/>
    <col min="15472" max="15473" width="9.85546875" style="2" customWidth="1"/>
    <col min="15474" max="15474" width="8.5703125" style="2" customWidth="1"/>
    <col min="15475" max="15476" width="8.85546875" style="2" customWidth="1"/>
    <col min="15477" max="15477" width="9.7109375" style="2" customWidth="1"/>
    <col min="15478" max="15478" width="8.5703125" style="2" customWidth="1"/>
    <col min="15479" max="15479" width="7.7109375" style="2" bestFit="1" customWidth="1"/>
    <col min="15480" max="15480" width="7.5703125" style="2" customWidth="1"/>
    <col min="15481" max="15481" width="8.28515625" style="2" bestFit="1" customWidth="1"/>
    <col min="15482" max="15482" width="8.28515625" style="2" customWidth="1"/>
    <col min="15483" max="15483" width="7.140625" style="2" bestFit="1" customWidth="1"/>
    <col min="15484" max="15484" width="9" style="2" customWidth="1"/>
    <col min="15485" max="15485" width="9.5703125" style="2" customWidth="1"/>
    <col min="15486" max="15486" width="9.7109375" style="2" customWidth="1"/>
    <col min="15487" max="15487" width="10.85546875" style="2" customWidth="1"/>
    <col min="15488" max="15488" width="10.42578125" style="2" customWidth="1"/>
    <col min="15489" max="15490" width="11.28515625" style="2" customWidth="1"/>
    <col min="15491" max="15491" width="11" style="2" customWidth="1"/>
    <col min="15492" max="15492" width="6.7109375" style="2" customWidth="1"/>
    <col min="15493" max="15495" width="9.85546875" style="2"/>
    <col min="15496" max="15496" width="13.140625" style="2" customWidth="1"/>
    <col min="15497" max="15573" width="9.85546875" style="2"/>
    <col min="15574" max="15574" width="27.5703125" style="2" customWidth="1"/>
    <col min="15575" max="15575" width="5.28515625" style="2" customWidth="1"/>
    <col min="15576" max="15577" width="9" style="2" customWidth="1"/>
    <col min="15578" max="15578" width="9.5703125" style="2" customWidth="1"/>
    <col min="15579" max="15579" width="9.7109375" style="2" customWidth="1"/>
    <col min="15580" max="15580" width="7.5703125" style="2" customWidth="1"/>
    <col min="15581" max="15581" width="10.42578125" style="2" customWidth="1"/>
    <col min="15582" max="15582" width="9.140625" style="2" bestFit="1" customWidth="1"/>
    <col min="15583" max="15583" width="7.28515625" style="2" customWidth="1"/>
    <col min="15584" max="15585" width="9.28515625" style="2" customWidth="1"/>
    <col min="15586" max="15586" width="9.5703125" style="2" customWidth="1"/>
    <col min="15587" max="15588" width="9" style="2" customWidth="1"/>
    <col min="15589" max="15589" width="8" style="2" customWidth="1"/>
    <col min="15590" max="15590" width="8.5703125" style="2" customWidth="1"/>
    <col min="15591" max="15591" width="8.28515625" style="2" customWidth="1"/>
    <col min="15592" max="15592" width="9.5703125" style="2" customWidth="1"/>
    <col min="15593" max="15593" width="8.42578125" style="2" customWidth="1"/>
    <col min="15594" max="15594" width="8.140625" style="2" customWidth="1"/>
    <col min="15595" max="15595" width="7.5703125" style="2" customWidth="1"/>
    <col min="15596" max="15596" width="9.140625" style="2" customWidth="1"/>
    <col min="15597" max="15597" width="9" style="2" customWidth="1"/>
    <col min="15598" max="15598" width="8.5703125" style="2" customWidth="1"/>
    <col min="15599" max="15599" width="7.85546875" style="2" customWidth="1"/>
    <col min="15600" max="15600" width="6.7109375" style="2" customWidth="1"/>
    <col min="15601" max="15601" width="5.7109375" style="2" customWidth="1"/>
    <col min="15602" max="15602" width="6.28515625" style="2" customWidth="1"/>
    <col min="15603" max="15603" width="6.5703125" style="2" customWidth="1"/>
    <col min="15604" max="15604" width="8.7109375" style="2" customWidth="1"/>
    <col min="15605" max="15605" width="9" style="2" customWidth="1"/>
    <col min="15606" max="15606" width="8.28515625" style="2" customWidth="1"/>
    <col min="15607" max="15607" width="8.42578125" style="2" customWidth="1"/>
    <col min="15608" max="15608" width="9.85546875" style="2" customWidth="1"/>
    <col min="15609" max="15609" width="10" style="2" customWidth="1"/>
    <col min="15610" max="15610" width="10.140625" style="2" customWidth="1"/>
    <col min="15611" max="15611" width="10.5703125" style="2" customWidth="1"/>
    <col min="15612" max="15612" width="8.140625" style="2" customWidth="1"/>
    <col min="15613" max="15613" width="7.85546875" style="2" customWidth="1"/>
    <col min="15614" max="15614" width="9" style="2" customWidth="1"/>
    <col min="15615" max="15615" width="10" style="2" customWidth="1"/>
    <col min="15616" max="15616" width="10.28515625" style="2" customWidth="1"/>
    <col min="15617" max="15617" width="10.140625" style="2" customWidth="1"/>
    <col min="15618" max="15618" width="10.5703125" style="2" customWidth="1"/>
    <col min="15619" max="15619" width="10.28515625" style="2" customWidth="1"/>
    <col min="15620" max="15620" width="9.7109375" style="2" customWidth="1"/>
    <col min="15621" max="15621" width="9.140625" style="2" bestFit="1" customWidth="1"/>
    <col min="15622" max="15622" width="9.28515625" style="2" customWidth="1"/>
    <col min="15623" max="15623" width="9" style="2" customWidth="1"/>
    <col min="15624" max="15624" width="8" style="2" customWidth="1"/>
    <col min="15625" max="15625" width="8.28515625" style="2" customWidth="1"/>
    <col min="15626" max="15626" width="7.85546875" style="2" customWidth="1"/>
    <col min="15627" max="15627" width="9" style="2" customWidth="1"/>
    <col min="15628" max="15628" width="8.42578125" style="2" customWidth="1"/>
    <col min="15629" max="15629" width="8.28515625" style="2" bestFit="1" customWidth="1"/>
    <col min="15630" max="15631" width="9" style="2" customWidth="1"/>
    <col min="15632" max="15632" width="7.140625" style="2" customWidth="1"/>
    <col min="15633" max="15633" width="9.140625" style="2" customWidth="1"/>
    <col min="15634" max="15634" width="7.7109375" style="2" customWidth="1"/>
    <col min="15635" max="15635" width="7.5703125" style="2" customWidth="1"/>
    <col min="15636" max="15636" width="10" style="2" customWidth="1"/>
    <col min="15637" max="15638" width="10.140625" style="2" bestFit="1" customWidth="1"/>
    <col min="15639" max="15639" width="12.7109375" style="2" bestFit="1" customWidth="1"/>
    <col min="15640" max="15640" width="9.140625" style="2" customWidth="1"/>
    <col min="15641" max="15641" width="9" style="2" customWidth="1"/>
    <col min="15642" max="15642" width="8.85546875" style="2" customWidth="1"/>
    <col min="15643" max="15643" width="10.42578125" style="2" customWidth="1"/>
    <col min="15644" max="15644" width="8.7109375" style="2" customWidth="1"/>
    <col min="15645" max="15645" width="8.140625" style="2" customWidth="1"/>
    <col min="15646" max="15646" width="7.7109375" style="2" customWidth="1"/>
    <col min="15647" max="15647" width="9.7109375" style="2" customWidth="1"/>
    <col min="15648" max="15648" width="6.5703125" style="2" bestFit="1" customWidth="1"/>
    <col min="15649" max="15650" width="7.5703125" style="2" customWidth="1"/>
    <col min="15651" max="15651" width="7.7109375" style="2" customWidth="1"/>
    <col min="15652" max="15653" width="9.28515625" style="2" bestFit="1" customWidth="1"/>
    <col min="15654" max="15654" width="9.5703125" style="2" customWidth="1"/>
    <col min="15655" max="15655" width="9.140625" style="2" customWidth="1"/>
    <col min="15656" max="15657" width="7.85546875" style="2" customWidth="1"/>
    <col min="15658" max="15658" width="9.42578125" style="2" customWidth="1"/>
    <col min="15659" max="15659" width="10" style="2" customWidth="1"/>
    <col min="15660" max="15660" width="6.42578125" style="2" customWidth="1"/>
    <col min="15661" max="15661" width="9" style="2" customWidth="1"/>
    <col min="15662" max="15662" width="8.85546875" style="2" customWidth="1"/>
    <col min="15663" max="15663" width="7.7109375" style="2" customWidth="1"/>
    <col min="15664" max="15664" width="9.7109375" style="2" customWidth="1"/>
    <col min="15665" max="15665" width="9.42578125" style="2" customWidth="1"/>
    <col min="15666" max="15666" width="9.85546875" style="2" customWidth="1"/>
    <col min="15667" max="15667" width="7.7109375" style="2" customWidth="1"/>
    <col min="15668" max="15668" width="8.5703125" style="2" customWidth="1"/>
    <col min="15669" max="15669" width="9.140625" style="2" customWidth="1"/>
    <col min="15670" max="15670" width="10.140625" style="2" customWidth="1"/>
    <col min="15671" max="15671" width="10.42578125" style="2" customWidth="1"/>
    <col min="15672" max="15673" width="7.85546875" style="2" customWidth="1"/>
    <col min="15674" max="15674" width="8.28515625" style="2" customWidth="1"/>
    <col min="15675" max="15675" width="10.42578125" style="2" customWidth="1"/>
    <col min="15676" max="15677" width="7.85546875" style="2" customWidth="1"/>
    <col min="15678" max="15678" width="8.28515625" style="2" customWidth="1"/>
    <col min="15679" max="15679" width="10.42578125" style="2" customWidth="1"/>
    <col min="15680" max="15680" width="8.5703125" style="2" customWidth="1"/>
    <col min="15681" max="15681" width="8.85546875" style="2" customWidth="1"/>
    <col min="15682" max="15682" width="8.7109375" style="2" customWidth="1"/>
    <col min="15683" max="15683" width="7.140625" style="2" bestFit="1" customWidth="1"/>
    <col min="15684" max="15684" width="7.7109375" style="2" bestFit="1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8.85546875" style="2" customWidth="1"/>
    <col min="15689" max="15689" width="9.42578125" style="2" customWidth="1"/>
    <col min="15690" max="15691" width="7.7109375" style="2" bestFit="1" customWidth="1"/>
    <col min="15692" max="15692" width="8.85546875" style="2" customWidth="1"/>
    <col min="15693" max="15693" width="9.42578125" style="2" customWidth="1"/>
    <col min="15694" max="15695" width="7.7109375" style="2" bestFit="1" customWidth="1"/>
    <col min="15696" max="15696" width="9.140625" style="2" customWidth="1"/>
    <col min="15697" max="15697" width="10" style="2" customWidth="1"/>
    <col min="15698" max="15698" width="9.5703125" style="2" customWidth="1"/>
    <col min="15699" max="15699" width="9.28515625" style="2" bestFit="1" customWidth="1"/>
    <col min="15700" max="15700" width="9.28515625" style="2" customWidth="1"/>
    <col min="15701" max="15701" width="9.28515625" style="2" bestFit="1" customWidth="1"/>
    <col min="15702" max="15702" width="10.28515625" style="2" customWidth="1"/>
    <col min="15703" max="15703" width="7.7109375" style="2" bestFit="1" customWidth="1"/>
    <col min="15704" max="15704" width="8" style="2" customWidth="1"/>
    <col min="15705" max="15705" width="8.5703125" style="2" customWidth="1"/>
    <col min="15706" max="15706" width="9.7109375" style="2" customWidth="1"/>
    <col min="15707" max="15707" width="9.42578125" style="2" customWidth="1"/>
    <col min="15708" max="15708" width="9.140625" style="2" customWidth="1"/>
    <col min="15709" max="15709" width="11.42578125" style="2" customWidth="1"/>
    <col min="15710" max="15710" width="12.5703125" style="2" customWidth="1"/>
    <col min="15711" max="15711" width="10.28515625" style="2" customWidth="1"/>
    <col min="15712" max="15712" width="7.7109375" style="2" bestFit="1" customWidth="1"/>
    <col min="15713" max="15713" width="8.28515625" style="2" bestFit="1" customWidth="1"/>
    <col min="15714" max="15715" width="7.7109375" style="2" bestFit="1" customWidth="1"/>
    <col min="15716" max="15716" width="6.5703125" style="2" bestFit="1" customWidth="1"/>
    <col min="15717" max="15717" width="8.28515625" style="2" bestFit="1" customWidth="1"/>
    <col min="15718" max="15718" width="6.5703125" style="2" bestFit="1" customWidth="1"/>
    <col min="15719" max="15719" width="7.140625" style="2" bestFit="1" customWidth="1"/>
    <col min="15720" max="15720" width="7.7109375" style="2" bestFit="1" customWidth="1"/>
    <col min="15721" max="15721" width="8.28515625" style="2" bestFit="1" customWidth="1"/>
    <col min="15722" max="15724" width="7.7109375" style="2" bestFit="1" customWidth="1"/>
    <col min="15725" max="15725" width="8.28515625" style="2" bestFit="1" customWidth="1"/>
    <col min="15726" max="15727" width="7.7109375" style="2" bestFit="1" customWidth="1"/>
    <col min="15728" max="15729" width="9.85546875" style="2" customWidth="1"/>
    <col min="15730" max="15730" width="8.5703125" style="2" customWidth="1"/>
    <col min="15731" max="15732" width="8.85546875" style="2" customWidth="1"/>
    <col min="15733" max="15733" width="9.7109375" style="2" customWidth="1"/>
    <col min="15734" max="15734" width="8.5703125" style="2" customWidth="1"/>
    <col min="15735" max="15735" width="7.7109375" style="2" bestFit="1" customWidth="1"/>
    <col min="15736" max="15736" width="7.5703125" style="2" customWidth="1"/>
    <col min="15737" max="15737" width="8.28515625" style="2" bestFit="1" customWidth="1"/>
    <col min="15738" max="15738" width="8.28515625" style="2" customWidth="1"/>
    <col min="15739" max="15739" width="7.140625" style="2" bestFit="1" customWidth="1"/>
    <col min="15740" max="15740" width="9" style="2" customWidth="1"/>
    <col min="15741" max="15741" width="9.5703125" style="2" customWidth="1"/>
    <col min="15742" max="15742" width="9.7109375" style="2" customWidth="1"/>
    <col min="15743" max="15743" width="10.85546875" style="2" customWidth="1"/>
    <col min="15744" max="15744" width="10.42578125" style="2" customWidth="1"/>
    <col min="15745" max="15746" width="11.28515625" style="2" customWidth="1"/>
    <col min="15747" max="15747" width="11" style="2" customWidth="1"/>
    <col min="15748" max="15748" width="6.7109375" style="2" customWidth="1"/>
    <col min="15749" max="15751" width="9.85546875" style="2"/>
    <col min="15752" max="15752" width="13.140625" style="2" customWidth="1"/>
    <col min="15753" max="15829" width="9.85546875" style="2"/>
    <col min="15830" max="15830" width="27.5703125" style="2" customWidth="1"/>
    <col min="15831" max="15831" width="5.28515625" style="2" customWidth="1"/>
    <col min="15832" max="15833" width="9" style="2" customWidth="1"/>
    <col min="15834" max="15834" width="9.5703125" style="2" customWidth="1"/>
    <col min="15835" max="15835" width="9.7109375" style="2" customWidth="1"/>
    <col min="15836" max="15836" width="7.5703125" style="2" customWidth="1"/>
    <col min="15837" max="15837" width="10.42578125" style="2" customWidth="1"/>
    <col min="15838" max="15838" width="9.140625" style="2" bestFit="1" customWidth="1"/>
    <col min="15839" max="15839" width="7.28515625" style="2" customWidth="1"/>
    <col min="15840" max="15841" width="9.28515625" style="2" customWidth="1"/>
    <col min="15842" max="15842" width="9.5703125" style="2" customWidth="1"/>
    <col min="15843" max="15844" width="9" style="2" customWidth="1"/>
    <col min="15845" max="15845" width="8" style="2" customWidth="1"/>
    <col min="15846" max="15846" width="8.5703125" style="2" customWidth="1"/>
    <col min="15847" max="15847" width="8.28515625" style="2" customWidth="1"/>
    <col min="15848" max="15848" width="9.5703125" style="2" customWidth="1"/>
    <col min="15849" max="15849" width="8.42578125" style="2" customWidth="1"/>
    <col min="15850" max="15850" width="8.140625" style="2" customWidth="1"/>
    <col min="15851" max="15851" width="7.5703125" style="2" customWidth="1"/>
    <col min="15852" max="15852" width="9.140625" style="2" customWidth="1"/>
    <col min="15853" max="15853" width="9" style="2" customWidth="1"/>
    <col min="15854" max="15854" width="8.5703125" style="2" customWidth="1"/>
    <col min="15855" max="15855" width="7.85546875" style="2" customWidth="1"/>
    <col min="15856" max="15856" width="6.7109375" style="2" customWidth="1"/>
    <col min="15857" max="15857" width="5.7109375" style="2" customWidth="1"/>
    <col min="15858" max="15858" width="6.28515625" style="2" customWidth="1"/>
    <col min="15859" max="15859" width="6.5703125" style="2" customWidth="1"/>
    <col min="15860" max="15860" width="8.7109375" style="2" customWidth="1"/>
    <col min="15861" max="15861" width="9" style="2" customWidth="1"/>
    <col min="15862" max="15862" width="8.28515625" style="2" customWidth="1"/>
    <col min="15863" max="15863" width="8.42578125" style="2" customWidth="1"/>
    <col min="15864" max="15864" width="9.85546875" style="2" customWidth="1"/>
    <col min="15865" max="15865" width="10" style="2" customWidth="1"/>
    <col min="15866" max="15866" width="10.140625" style="2" customWidth="1"/>
    <col min="15867" max="15867" width="10.5703125" style="2" customWidth="1"/>
    <col min="15868" max="15868" width="8.140625" style="2" customWidth="1"/>
    <col min="15869" max="15869" width="7.85546875" style="2" customWidth="1"/>
    <col min="15870" max="15870" width="9" style="2" customWidth="1"/>
    <col min="15871" max="15871" width="10" style="2" customWidth="1"/>
    <col min="15872" max="15872" width="10.28515625" style="2" customWidth="1"/>
    <col min="15873" max="15873" width="10.140625" style="2" customWidth="1"/>
    <col min="15874" max="15874" width="10.5703125" style="2" customWidth="1"/>
    <col min="15875" max="15875" width="10.28515625" style="2" customWidth="1"/>
    <col min="15876" max="15876" width="9.7109375" style="2" customWidth="1"/>
    <col min="15877" max="15877" width="9.140625" style="2" bestFit="1" customWidth="1"/>
    <col min="15878" max="15878" width="9.28515625" style="2" customWidth="1"/>
    <col min="15879" max="15879" width="9" style="2" customWidth="1"/>
    <col min="15880" max="15880" width="8" style="2" customWidth="1"/>
    <col min="15881" max="15881" width="8.28515625" style="2" customWidth="1"/>
    <col min="15882" max="15882" width="7.85546875" style="2" customWidth="1"/>
    <col min="15883" max="15883" width="9" style="2" customWidth="1"/>
    <col min="15884" max="15884" width="8.42578125" style="2" customWidth="1"/>
    <col min="15885" max="15885" width="8.28515625" style="2" bestFit="1" customWidth="1"/>
    <col min="15886" max="15887" width="9" style="2" customWidth="1"/>
    <col min="15888" max="15888" width="7.140625" style="2" customWidth="1"/>
    <col min="15889" max="15889" width="9.140625" style="2" customWidth="1"/>
    <col min="15890" max="15890" width="7.7109375" style="2" customWidth="1"/>
    <col min="15891" max="15891" width="7.5703125" style="2" customWidth="1"/>
    <col min="15892" max="15892" width="10" style="2" customWidth="1"/>
    <col min="15893" max="15894" width="10.140625" style="2" bestFit="1" customWidth="1"/>
    <col min="15895" max="15895" width="12.7109375" style="2" bestFit="1" customWidth="1"/>
    <col min="15896" max="15896" width="9.140625" style="2" customWidth="1"/>
    <col min="15897" max="15897" width="9" style="2" customWidth="1"/>
    <col min="15898" max="15898" width="8.85546875" style="2" customWidth="1"/>
    <col min="15899" max="15899" width="10.42578125" style="2" customWidth="1"/>
    <col min="15900" max="15900" width="8.7109375" style="2" customWidth="1"/>
    <col min="15901" max="15901" width="8.140625" style="2" customWidth="1"/>
    <col min="15902" max="15902" width="7.7109375" style="2" customWidth="1"/>
    <col min="15903" max="15903" width="9.7109375" style="2" customWidth="1"/>
    <col min="15904" max="15904" width="6.5703125" style="2" bestFit="1" customWidth="1"/>
    <col min="15905" max="15906" width="7.5703125" style="2" customWidth="1"/>
    <col min="15907" max="15907" width="7.7109375" style="2" customWidth="1"/>
    <col min="15908" max="15909" width="9.28515625" style="2" bestFit="1" customWidth="1"/>
    <col min="15910" max="15910" width="9.5703125" style="2" customWidth="1"/>
    <col min="15911" max="15911" width="9.140625" style="2" customWidth="1"/>
    <col min="15912" max="15913" width="7.85546875" style="2" customWidth="1"/>
    <col min="15914" max="15914" width="9.42578125" style="2" customWidth="1"/>
    <col min="15915" max="15915" width="10" style="2" customWidth="1"/>
    <col min="15916" max="15916" width="6.42578125" style="2" customWidth="1"/>
    <col min="15917" max="15917" width="9" style="2" customWidth="1"/>
    <col min="15918" max="15918" width="8.85546875" style="2" customWidth="1"/>
    <col min="15919" max="15919" width="7.7109375" style="2" customWidth="1"/>
    <col min="15920" max="15920" width="9.7109375" style="2" customWidth="1"/>
    <col min="15921" max="15921" width="9.42578125" style="2" customWidth="1"/>
    <col min="15922" max="15922" width="9.85546875" style="2" customWidth="1"/>
    <col min="15923" max="15923" width="7.7109375" style="2" customWidth="1"/>
    <col min="15924" max="15924" width="8.5703125" style="2" customWidth="1"/>
    <col min="15925" max="15925" width="9.140625" style="2" customWidth="1"/>
    <col min="15926" max="15926" width="10.140625" style="2" customWidth="1"/>
    <col min="15927" max="15927" width="10.42578125" style="2" customWidth="1"/>
    <col min="15928" max="15929" width="7.85546875" style="2" customWidth="1"/>
    <col min="15930" max="15930" width="8.28515625" style="2" customWidth="1"/>
    <col min="15931" max="15931" width="10.42578125" style="2" customWidth="1"/>
    <col min="15932" max="15933" width="7.85546875" style="2" customWidth="1"/>
    <col min="15934" max="15934" width="8.28515625" style="2" customWidth="1"/>
    <col min="15935" max="15935" width="10.42578125" style="2" customWidth="1"/>
    <col min="15936" max="15936" width="8.5703125" style="2" customWidth="1"/>
    <col min="15937" max="15937" width="8.85546875" style="2" customWidth="1"/>
    <col min="15938" max="15938" width="8.7109375" style="2" customWidth="1"/>
    <col min="15939" max="15939" width="7.140625" style="2" bestFit="1" customWidth="1"/>
    <col min="15940" max="15940" width="7.7109375" style="2" bestFit="1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8.85546875" style="2" customWidth="1"/>
    <col min="15945" max="15945" width="9.42578125" style="2" customWidth="1"/>
    <col min="15946" max="15947" width="7.7109375" style="2" bestFit="1" customWidth="1"/>
    <col min="15948" max="15948" width="8.85546875" style="2" customWidth="1"/>
    <col min="15949" max="15949" width="9.42578125" style="2" customWidth="1"/>
    <col min="15950" max="15951" width="7.7109375" style="2" bestFit="1" customWidth="1"/>
    <col min="15952" max="15952" width="9.140625" style="2" customWidth="1"/>
    <col min="15953" max="15953" width="10" style="2" customWidth="1"/>
    <col min="15954" max="15954" width="9.5703125" style="2" customWidth="1"/>
    <col min="15955" max="15955" width="9.28515625" style="2" bestFit="1" customWidth="1"/>
    <col min="15956" max="15956" width="9.28515625" style="2" customWidth="1"/>
    <col min="15957" max="15957" width="9.28515625" style="2" bestFit="1" customWidth="1"/>
    <col min="15958" max="15958" width="10.28515625" style="2" customWidth="1"/>
    <col min="15959" max="15959" width="7.7109375" style="2" bestFit="1" customWidth="1"/>
    <col min="15960" max="15960" width="8" style="2" customWidth="1"/>
    <col min="15961" max="15961" width="8.5703125" style="2" customWidth="1"/>
    <col min="15962" max="15962" width="9.7109375" style="2" customWidth="1"/>
    <col min="15963" max="15963" width="9.42578125" style="2" customWidth="1"/>
    <col min="15964" max="15964" width="9.140625" style="2" customWidth="1"/>
    <col min="15965" max="15965" width="11.42578125" style="2" customWidth="1"/>
    <col min="15966" max="15966" width="12.5703125" style="2" customWidth="1"/>
    <col min="15967" max="15967" width="10.28515625" style="2" customWidth="1"/>
    <col min="15968" max="15968" width="7.7109375" style="2" bestFit="1" customWidth="1"/>
    <col min="15969" max="15969" width="8.28515625" style="2" bestFit="1" customWidth="1"/>
    <col min="15970" max="15971" width="7.7109375" style="2" bestFit="1" customWidth="1"/>
    <col min="15972" max="15972" width="6.5703125" style="2" bestFit="1" customWidth="1"/>
    <col min="15973" max="15973" width="8.28515625" style="2" bestFit="1" customWidth="1"/>
    <col min="15974" max="15974" width="6.5703125" style="2" bestFit="1" customWidth="1"/>
    <col min="15975" max="15975" width="7.140625" style="2" bestFit="1" customWidth="1"/>
    <col min="15976" max="15976" width="7.7109375" style="2" bestFit="1" customWidth="1"/>
    <col min="15977" max="15977" width="8.28515625" style="2" bestFit="1" customWidth="1"/>
    <col min="15978" max="15980" width="7.7109375" style="2" bestFit="1" customWidth="1"/>
    <col min="15981" max="15981" width="8.28515625" style="2" bestFit="1" customWidth="1"/>
    <col min="15982" max="15983" width="7.7109375" style="2" bestFit="1" customWidth="1"/>
    <col min="15984" max="15985" width="9.85546875" style="2" customWidth="1"/>
    <col min="15986" max="15986" width="8.5703125" style="2" customWidth="1"/>
    <col min="15987" max="15988" width="8.85546875" style="2" customWidth="1"/>
    <col min="15989" max="15989" width="9.7109375" style="2" customWidth="1"/>
    <col min="15990" max="15990" width="8.5703125" style="2" customWidth="1"/>
    <col min="15991" max="15991" width="7.7109375" style="2" bestFit="1" customWidth="1"/>
    <col min="15992" max="15992" width="7.5703125" style="2" customWidth="1"/>
    <col min="15993" max="15993" width="8.28515625" style="2" bestFit="1" customWidth="1"/>
    <col min="15994" max="15994" width="8.28515625" style="2" customWidth="1"/>
    <col min="15995" max="15995" width="7.140625" style="2" bestFit="1" customWidth="1"/>
    <col min="15996" max="15996" width="9" style="2" customWidth="1"/>
    <col min="15997" max="15997" width="9.5703125" style="2" customWidth="1"/>
    <col min="15998" max="15998" width="9.7109375" style="2" customWidth="1"/>
    <col min="15999" max="15999" width="10.85546875" style="2" customWidth="1"/>
    <col min="16000" max="16000" width="10.42578125" style="2" customWidth="1"/>
    <col min="16001" max="16002" width="11.28515625" style="2" customWidth="1"/>
    <col min="16003" max="16003" width="11" style="2" customWidth="1"/>
    <col min="16004" max="16004" width="6.7109375" style="2" customWidth="1"/>
    <col min="16005" max="16007" width="9.85546875" style="2"/>
    <col min="16008" max="16008" width="13.140625" style="2" customWidth="1"/>
    <col min="16009" max="16085" width="9.85546875" style="2"/>
    <col min="16086" max="16086" width="27.5703125" style="2" customWidth="1"/>
    <col min="16087" max="16087" width="5.28515625" style="2" customWidth="1"/>
    <col min="16088" max="16089" width="9" style="2" customWidth="1"/>
    <col min="16090" max="16090" width="9.5703125" style="2" customWidth="1"/>
    <col min="16091" max="16091" width="9.7109375" style="2" customWidth="1"/>
    <col min="16092" max="16092" width="7.5703125" style="2" customWidth="1"/>
    <col min="16093" max="16093" width="10.42578125" style="2" customWidth="1"/>
    <col min="16094" max="16094" width="9.140625" style="2" bestFit="1" customWidth="1"/>
    <col min="16095" max="16095" width="7.28515625" style="2" customWidth="1"/>
    <col min="16096" max="16097" width="9.28515625" style="2" customWidth="1"/>
    <col min="16098" max="16098" width="9.5703125" style="2" customWidth="1"/>
    <col min="16099" max="16100" width="9" style="2" customWidth="1"/>
    <col min="16101" max="16101" width="8" style="2" customWidth="1"/>
    <col min="16102" max="16102" width="8.5703125" style="2" customWidth="1"/>
    <col min="16103" max="16103" width="8.28515625" style="2" customWidth="1"/>
    <col min="16104" max="16104" width="9.5703125" style="2" customWidth="1"/>
    <col min="16105" max="16105" width="8.42578125" style="2" customWidth="1"/>
    <col min="16106" max="16106" width="8.140625" style="2" customWidth="1"/>
    <col min="16107" max="16107" width="7.5703125" style="2" customWidth="1"/>
    <col min="16108" max="16108" width="9.140625" style="2" customWidth="1"/>
    <col min="16109" max="16109" width="9" style="2" customWidth="1"/>
    <col min="16110" max="16110" width="8.5703125" style="2" customWidth="1"/>
    <col min="16111" max="16111" width="7.85546875" style="2" customWidth="1"/>
    <col min="16112" max="16112" width="6.7109375" style="2" customWidth="1"/>
    <col min="16113" max="16113" width="5.7109375" style="2" customWidth="1"/>
    <col min="16114" max="16114" width="6.28515625" style="2" customWidth="1"/>
    <col min="16115" max="16115" width="6.5703125" style="2" customWidth="1"/>
    <col min="16116" max="16116" width="8.7109375" style="2" customWidth="1"/>
    <col min="16117" max="16117" width="9" style="2" customWidth="1"/>
    <col min="16118" max="16118" width="8.28515625" style="2" customWidth="1"/>
    <col min="16119" max="16119" width="8.42578125" style="2" customWidth="1"/>
    <col min="16120" max="16120" width="9.85546875" style="2" customWidth="1"/>
    <col min="16121" max="16121" width="10" style="2" customWidth="1"/>
    <col min="16122" max="16122" width="10.140625" style="2" customWidth="1"/>
    <col min="16123" max="16123" width="10.5703125" style="2" customWidth="1"/>
    <col min="16124" max="16124" width="8.140625" style="2" customWidth="1"/>
    <col min="16125" max="16125" width="7.85546875" style="2" customWidth="1"/>
    <col min="16126" max="16126" width="9" style="2" customWidth="1"/>
    <col min="16127" max="16127" width="10" style="2" customWidth="1"/>
    <col min="16128" max="16128" width="10.28515625" style="2" customWidth="1"/>
    <col min="16129" max="16129" width="10.140625" style="2" customWidth="1"/>
    <col min="16130" max="16130" width="10.5703125" style="2" customWidth="1"/>
    <col min="16131" max="16131" width="10.28515625" style="2" customWidth="1"/>
    <col min="16132" max="16132" width="9.7109375" style="2" customWidth="1"/>
    <col min="16133" max="16133" width="9.140625" style="2" bestFit="1" customWidth="1"/>
    <col min="16134" max="16134" width="9.28515625" style="2" customWidth="1"/>
    <col min="16135" max="16135" width="9" style="2" customWidth="1"/>
    <col min="16136" max="16136" width="8" style="2" customWidth="1"/>
    <col min="16137" max="16137" width="8.28515625" style="2" customWidth="1"/>
    <col min="16138" max="16138" width="7.85546875" style="2" customWidth="1"/>
    <col min="16139" max="16139" width="9" style="2" customWidth="1"/>
    <col min="16140" max="16140" width="8.42578125" style="2" customWidth="1"/>
    <col min="16141" max="16141" width="8.28515625" style="2" bestFit="1" customWidth="1"/>
    <col min="16142" max="16143" width="9" style="2" customWidth="1"/>
    <col min="16144" max="16144" width="7.140625" style="2" customWidth="1"/>
    <col min="16145" max="16145" width="9.140625" style="2" customWidth="1"/>
    <col min="16146" max="16146" width="7.7109375" style="2" customWidth="1"/>
    <col min="16147" max="16147" width="7.5703125" style="2" customWidth="1"/>
    <col min="16148" max="16148" width="10" style="2" customWidth="1"/>
    <col min="16149" max="16150" width="10.140625" style="2" bestFit="1" customWidth="1"/>
    <col min="16151" max="16151" width="12.7109375" style="2" bestFit="1" customWidth="1"/>
    <col min="16152" max="16152" width="9.140625" style="2" customWidth="1"/>
    <col min="16153" max="16153" width="9" style="2" customWidth="1"/>
    <col min="16154" max="16154" width="8.85546875" style="2" customWidth="1"/>
    <col min="16155" max="16155" width="10.42578125" style="2" customWidth="1"/>
    <col min="16156" max="16156" width="8.7109375" style="2" customWidth="1"/>
    <col min="16157" max="16157" width="8.140625" style="2" customWidth="1"/>
    <col min="16158" max="16158" width="7.7109375" style="2" customWidth="1"/>
    <col min="16159" max="16159" width="9.7109375" style="2" customWidth="1"/>
    <col min="16160" max="16160" width="6.5703125" style="2" bestFit="1" customWidth="1"/>
    <col min="16161" max="16162" width="7.5703125" style="2" customWidth="1"/>
    <col min="16163" max="16163" width="7.7109375" style="2" customWidth="1"/>
    <col min="16164" max="16165" width="9.28515625" style="2" bestFit="1" customWidth="1"/>
    <col min="16166" max="16166" width="9.5703125" style="2" customWidth="1"/>
    <col min="16167" max="16167" width="9.140625" style="2" customWidth="1"/>
    <col min="16168" max="16169" width="7.85546875" style="2" customWidth="1"/>
    <col min="16170" max="16170" width="9.42578125" style="2" customWidth="1"/>
    <col min="16171" max="16171" width="10" style="2" customWidth="1"/>
    <col min="16172" max="16172" width="6.42578125" style="2" customWidth="1"/>
    <col min="16173" max="16173" width="9" style="2" customWidth="1"/>
    <col min="16174" max="16174" width="8.85546875" style="2" customWidth="1"/>
    <col min="16175" max="16175" width="7.7109375" style="2" customWidth="1"/>
    <col min="16176" max="16176" width="9.7109375" style="2" customWidth="1"/>
    <col min="16177" max="16177" width="9.42578125" style="2" customWidth="1"/>
    <col min="16178" max="16178" width="9.85546875" style="2" customWidth="1"/>
    <col min="16179" max="16179" width="7.7109375" style="2" customWidth="1"/>
    <col min="16180" max="16180" width="8.5703125" style="2" customWidth="1"/>
    <col min="16181" max="16181" width="9.140625" style="2" customWidth="1"/>
    <col min="16182" max="16182" width="10.140625" style="2" customWidth="1"/>
    <col min="16183" max="16183" width="10.42578125" style="2" customWidth="1"/>
    <col min="16184" max="16185" width="7.85546875" style="2" customWidth="1"/>
    <col min="16186" max="16186" width="8.28515625" style="2" customWidth="1"/>
    <col min="16187" max="16187" width="10.42578125" style="2" customWidth="1"/>
    <col min="16188" max="16189" width="7.85546875" style="2" customWidth="1"/>
    <col min="16190" max="16190" width="8.28515625" style="2" customWidth="1"/>
    <col min="16191" max="16191" width="10.42578125" style="2" customWidth="1"/>
    <col min="16192" max="16192" width="8.5703125" style="2" customWidth="1"/>
    <col min="16193" max="16193" width="8.85546875" style="2" customWidth="1"/>
    <col min="16194" max="16194" width="8.7109375" style="2" customWidth="1"/>
    <col min="16195" max="16195" width="7.140625" style="2" bestFit="1" customWidth="1"/>
    <col min="16196" max="16196" width="7.7109375" style="2" bestFit="1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8.85546875" style="2" customWidth="1"/>
    <col min="16201" max="16201" width="9.42578125" style="2" customWidth="1"/>
    <col min="16202" max="16203" width="7.7109375" style="2" bestFit="1" customWidth="1"/>
    <col min="16204" max="16204" width="8.85546875" style="2" customWidth="1"/>
    <col min="16205" max="16205" width="9.42578125" style="2" customWidth="1"/>
    <col min="16206" max="16207" width="7.7109375" style="2" bestFit="1" customWidth="1"/>
    <col min="16208" max="16208" width="9.140625" style="2" customWidth="1"/>
    <col min="16209" max="16209" width="10" style="2" customWidth="1"/>
    <col min="16210" max="16210" width="9.5703125" style="2" customWidth="1"/>
    <col min="16211" max="16211" width="9.28515625" style="2" bestFit="1" customWidth="1"/>
    <col min="16212" max="16212" width="9.28515625" style="2" customWidth="1"/>
    <col min="16213" max="16213" width="9.28515625" style="2" bestFit="1" customWidth="1"/>
    <col min="16214" max="16214" width="10.28515625" style="2" customWidth="1"/>
    <col min="16215" max="16215" width="7.7109375" style="2" bestFit="1" customWidth="1"/>
    <col min="16216" max="16216" width="8" style="2" customWidth="1"/>
    <col min="16217" max="16217" width="8.5703125" style="2" customWidth="1"/>
    <col min="16218" max="16218" width="9.7109375" style="2" customWidth="1"/>
    <col min="16219" max="16219" width="9.42578125" style="2" customWidth="1"/>
    <col min="16220" max="16220" width="9.140625" style="2" customWidth="1"/>
    <col min="16221" max="16221" width="11.42578125" style="2" customWidth="1"/>
    <col min="16222" max="16222" width="12.5703125" style="2" customWidth="1"/>
    <col min="16223" max="16223" width="10.28515625" style="2" customWidth="1"/>
    <col min="16224" max="16224" width="7.7109375" style="2" bestFit="1" customWidth="1"/>
    <col min="16225" max="16225" width="8.28515625" style="2" bestFit="1" customWidth="1"/>
    <col min="16226" max="16227" width="7.7109375" style="2" bestFit="1" customWidth="1"/>
    <col min="16228" max="16228" width="6.5703125" style="2" bestFit="1" customWidth="1"/>
    <col min="16229" max="16229" width="8.28515625" style="2" bestFit="1" customWidth="1"/>
    <col min="16230" max="16230" width="6.5703125" style="2" bestFit="1" customWidth="1"/>
    <col min="16231" max="16231" width="7.140625" style="2" bestFit="1" customWidth="1"/>
    <col min="16232" max="16232" width="7.7109375" style="2" bestFit="1" customWidth="1"/>
    <col min="16233" max="16233" width="8.28515625" style="2" bestFit="1" customWidth="1"/>
    <col min="16234" max="16236" width="7.7109375" style="2" bestFit="1" customWidth="1"/>
    <col min="16237" max="16237" width="8.28515625" style="2" bestFit="1" customWidth="1"/>
    <col min="16238" max="16239" width="7.7109375" style="2" bestFit="1" customWidth="1"/>
    <col min="16240" max="16241" width="9.85546875" style="2" customWidth="1"/>
    <col min="16242" max="16242" width="8.5703125" style="2" customWidth="1"/>
    <col min="16243" max="16244" width="8.85546875" style="2" customWidth="1"/>
    <col min="16245" max="16245" width="9.7109375" style="2" customWidth="1"/>
    <col min="16246" max="16246" width="8.5703125" style="2" customWidth="1"/>
    <col min="16247" max="16247" width="7.7109375" style="2" bestFit="1" customWidth="1"/>
    <col min="16248" max="16248" width="7.5703125" style="2" customWidth="1"/>
    <col min="16249" max="16249" width="8.28515625" style="2" bestFit="1" customWidth="1"/>
    <col min="16250" max="16250" width="8.28515625" style="2" customWidth="1"/>
    <col min="16251" max="16251" width="7.140625" style="2" bestFit="1" customWidth="1"/>
    <col min="16252" max="16252" width="9" style="2" customWidth="1"/>
    <col min="16253" max="16253" width="9.5703125" style="2" customWidth="1"/>
    <col min="16254" max="16254" width="9.7109375" style="2" customWidth="1"/>
    <col min="16255" max="16255" width="10.85546875" style="2" customWidth="1"/>
    <col min="16256" max="16256" width="10.42578125" style="2" customWidth="1"/>
    <col min="16257" max="16258" width="11.28515625" style="2" customWidth="1"/>
    <col min="16259" max="16259" width="11" style="2" customWidth="1"/>
    <col min="16260" max="16260" width="6.7109375" style="2" customWidth="1"/>
    <col min="16261" max="16263" width="9.85546875" style="2"/>
    <col min="16264" max="16264" width="13.140625" style="2" customWidth="1"/>
    <col min="16265" max="16384" width="9.85546875" style="2"/>
  </cols>
  <sheetData>
    <row r="1" spans="1:133">
      <c r="A1" s="1" t="s">
        <v>0</v>
      </c>
    </row>
    <row r="2" spans="1:133">
      <c r="A2" s="4" t="s">
        <v>1</v>
      </c>
    </row>
    <row r="3" spans="1:133">
      <c r="A3" s="2" t="s">
        <v>2</v>
      </c>
    </row>
    <row r="4" spans="1:133" s="5" customFormat="1" ht="15">
      <c r="A4" s="5" t="s">
        <v>3</v>
      </c>
      <c r="E4" s="6"/>
      <c r="H4" s="6"/>
      <c r="K4" s="6"/>
      <c r="N4" s="6"/>
      <c r="Q4" s="6"/>
      <c r="T4" s="6"/>
      <c r="W4" s="6"/>
      <c r="Z4" s="6"/>
      <c r="AC4" s="6"/>
      <c r="AF4" s="6"/>
      <c r="AL4" s="6"/>
      <c r="AO4" s="6"/>
      <c r="AR4" s="6"/>
      <c r="AX4" s="6"/>
      <c r="BA4" s="6"/>
      <c r="BD4" s="6"/>
      <c r="BG4" s="6"/>
      <c r="BJ4" s="6"/>
      <c r="BM4" s="6"/>
      <c r="BP4" s="6"/>
      <c r="BS4" s="6"/>
      <c r="BV4" s="6"/>
      <c r="BY4" s="6"/>
      <c r="CB4" s="6"/>
      <c r="CE4" s="6"/>
      <c r="CH4" s="6"/>
      <c r="CK4" s="6"/>
      <c r="CN4" s="6"/>
      <c r="CQ4" s="6"/>
      <c r="CT4" s="6"/>
      <c r="CZ4" s="6"/>
      <c r="DC4" s="6"/>
      <c r="DF4" s="6"/>
      <c r="DI4" s="6"/>
      <c r="DL4" s="6"/>
      <c r="DO4" s="6"/>
      <c r="DR4" s="6"/>
    </row>
    <row r="5" spans="1:133" s="5" customFormat="1" ht="6.75" customHeight="1" thickBot="1">
      <c r="E5" s="6"/>
      <c r="H5" s="6"/>
      <c r="K5" s="6"/>
      <c r="N5" s="6"/>
      <c r="Q5" s="6"/>
      <c r="T5" s="6"/>
      <c r="W5" s="6"/>
      <c r="Z5" s="6"/>
      <c r="AC5" s="6"/>
      <c r="AF5" s="6"/>
      <c r="AL5" s="6"/>
      <c r="AO5" s="6"/>
      <c r="AR5" s="6"/>
      <c r="AX5" s="6"/>
      <c r="BA5" s="6"/>
      <c r="BD5" s="6"/>
      <c r="BG5" s="6"/>
      <c r="BJ5" s="6"/>
      <c r="BM5" s="6"/>
      <c r="BP5" s="6"/>
      <c r="BS5" s="6"/>
      <c r="BV5" s="6"/>
      <c r="BY5" s="6"/>
      <c r="CB5" s="6"/>
      <c r="CE5" s="6"/>
      <c r="CH5" s="6"/>
      <c r="CK5" s="6"/>
      <c r="CN5" s="6"/>
      <c r="CQ5" s="6"/>
      <c r="CT5" s="6"/>
      <c r="CZ5" s="6"/>
      <c r="DC5" s="6"/>
      <c r="DF5" s="6"/>
      <c r="DI5" s="6"/>
      <c r="DL5" s="6"/>
      <c r="DO5" s="6"/>
      <c r="DR5" s="6"/>
    </row>
    <row r="6" spans="1:133" s="89" customFormat="1" ht="21.75" customHeight="1" thickBot="1">
      <c r="A6" s="335" t="s">
        <v>4</v>
      </c>
      <c r="B6" s="343" t="s">
        <v>5</v>
      </c>
      <c r="C6" s="307" t="s">
        <v>6</v>
      </c>
      <c r="D6" s="307"/>
      <c r="E6" s="309"/>
      <c r="F6" s="311"/>
      <c r="G6" s="311"/>
      <c r="H6" s="309"/>
      <c r="I6" s="340" t="s">
        <v>7</v>
      </c>
      <c r="J6" s="340"/>
      <c r="K6" s="349"/>
      <c r="L6" s="312" t="s">
        <v>8</v>
      </c>
      <c r="M6" s="307"/>
      <c r="N6" s="309"/>
      <c r="O6" s="312"/>
      <c r="P6" s="312"/>
      <c r="Q6" s="309"/>
      <c r="R6" s="307"/>
      <c r="S6" s="307"/>
      <c r="T6" s="309"/>
      <c r="U6" s="338"/>
      <c r="V6" s="338"/>
      <c r="W6" s="349"/>
      <c r="X6" s="340" t="s">
        <v>7</v>
      </c>
      <c r="Y6" s="338"/>
      <c r="Z6" s="339"/>
      <c r="AA6" s="350" t="s">
        <v>9</v>
      </c>
      <c r="AB6" s="351"/>
      <c r="AC6" s="309"/>
      <c r="AD6" s="352"/>
      <c r="AE6" s="352"/>
      <c r="AF6" s="309"/>
      <c r="AG6" s="352"/>
      <c r="AH6" s="352"/>
      <c r="AI6" s="352"/>
      <c r="AJ6" s="352"/>
      <c r="AK6" s="352"/>
      <c r="AL6" s="352"/>
      <c r="AM6" s="352"/>
      <c r="AN6" s="352"/>
      <c r="AO6" s="309"/>
      <c r="AP6" s="352"/>
      <c r="AQ6" s="352"/>
      <c r="AR6" s="309"/>
      <c r="AS6" s="352"/>
      <c r="AT6" s="352"/>
      <c r="AU6" s="309"/>
      <c r="AV6" s="340" t="s">
        <v>7</v>
      </c>
      <c r="AW6" s="341"/>
      <c r="AX6" s="342"/>
      <c r="AY6" s="305" t="s">
        <v>10</v>
      </c>
      <c r="AZ6" s="305"/>
      <c r="BA6" s="309"/>
      <c r="BB6" s="305"/>
      <c r="BC6" s="305"/>
      <c r="BD6" s="309"/>
      <c r="BE6" s="305"/>
      <c r="BF6" s="305"/>
      <c r="BG6" s="309"/>
      <c r="BH6" s="340" t="s">
        <v>7</v>
      </c>
      <c r="BI6" s="341"/>
      <c r="BJ6" s="342"/>
      <c r="BK6" s="322" t="s">
        <v>11</v>
      </c>
      <c r="BL6" s="322"/>
      <c r="BM6" s="309"/>
      <c r="BN6" s="322"/>
      <c r="BO6" s="322"/>
      <c r="BP6" s="309"/>
      <c r="BQ6" s="322"/>
      <c r="BR6" s="322"/>
      <c r="BS6" s="309"/>
      <c r="BT6" s="322"/>
      <c r="BU6" s="322"/>
      <c r="BV6" s="309"/>
      <c r="BW6" s="322"/>
      <c r="BX6" s="322"/>
      <c r="BY6" s="309"/>
      <c r="BZ6" s="322"/>
      <c r="CA6" s="322"/>
      <c r="CB6" s="309"/>
      <c r="CC6" s="322"/>
      <c r="CD6" s="322"/>
      <c r="CE6" s="309"/>
      <c r="CF6" s="322"/>
      <c r="CG6" s="322"/>
      <c r="CH6" s="309"/>
      <c r="CI6" s="322"/>
      <c r="CJ6" s="322"/>
      <c r="CK6" s="309"/>
      <c r="CL6" s="322"/>
      <c r="CM6" s="322"/>
      <c r="CN6" s="309"/>
      <c r="CO6" s="322"/>
      <c r="CP6" s="322"/>
      <c r="CQ6" s="309"/>
      <c r="CR6" s="322"/>
      <c r="CS6" s="322"/>
      <c r="CT6" s="309"/>
      <c r="CU6" s="322"/>
      <c r="CV6" s="322"/>
      <c r="CW6" s="309"/>
      <c r="CX6" s="360" t="s">
        <v>7</v>
      </c>
      <c r="CY6" s="361"/>
      <c r="CZ6" s="362"/>
      <c r="DA6" s="363" t="s">
        <v>12</v>
      </c>
      <c r="DB6" s="364"/>
      <c r="DC6" s="364"/>
      <c r="DD6" s="364"/>
      <c r="DE6" s="364"/>
      <c r="DF6" s="364"/>
      <c r="DG6" s="364"/>
      <c r="DH6" s="364"/>
      <c r="DI6" s="365"/>
      <c r="DJ6" s="353"/>
      <c r="DK6" s="353"/>
      <c r="DL6" s="353"/>
      <c r="DM6" s="360" t="s">
        <v>7</v>
      </c>
      <c r="DN6" s="361"/>
      <c r="DO6" s="362"/>
      <c r="DP6" s="366" t="s">
        <v>13</v>
      </c>
      <c r="DQ6" s="367"/>
      <c r="DR6" s="367"/>
      <c r="DS6" s="367"/>
      <c r="DT6" s="367"/>
      <c r="DU6" s="368"/>
      <c r="DV6" s="360" t="s">
        <v>7</v>
      </c>
      <c r="DW6" s="361"/>
      <c r="DX6" s="362"/>
      <c r="DY6" s="338" t="s">
        <v>14</v>
      </c>
      <c r="DZ6" s="337"/>
      <c r="EA6" s="338"/>
      <c r="EB6" s="343" t="s">
        <v>5</v>
      </c>
    </row>
    <row r="7" spans="1:133" s="89" customFormat="1" ht="26.25" customHeight="1" thickBot="1">
      <c r="A7" s="298"/>
      <c r="B7" s="299"/>
      <c r="C7" s="302" t="s">
        <v>15</v>
      </c>
      <c r="D7" s="302"/>
      <c r="E7" s="303"/>
      <c r="F7" s="300" t="s">
        <v>16</v>
      </c>
      <c r="G7" s="300"/>
      <c r="H7" s="303"/>
      <c r="I7" s="300" t="s">
        <v>17</v>
      </c>
      <c r="J7" s="300"/>
      <c r="K7" s="303"/>
      <c r="L7" s="312" t="s">
        <v>18</v>
      </c>
      <c r="M7" s="312"/>
      <c r="N7" s="309"/>
      <c r="O7" s="312" t="s">
        <v>19</v>
      </c>
      <c r="P7" s="312"/>
      <c r="Q7" s="309"/>
      <c r="R7" s="310" t="s">
        <v>20</v>
      </c>
      <c r="S7" s="312"/>
      <c r="T7" s="309"/>
      <c r="U7" s="310" t="s">
        <v>21</v>
      </c>
      <c r="V7" s="307"/>
      <c r="W7" s="308"/>
      <c r="X7" s="369" t="s">
        <v>22</v>
      </c>
      <c r="Y7" s="370"/>
      <c r="Z7" s="371"/>
      <c r="AA7" s="305" t="s">
        <v>23</v>
      </c>
      <c r="AB7" s="306"/>
      <c r="AC7" s="309"/>
      <c r="AD7" s="306" t="s">
        <v>24</v>
      </c>
      <c r="AE7" s="306"/>
      <c r="AF7" s="309"/>
      <c r="AG7" s="306" t="s">
        <v>25</v>
      </c>
      <c r="AH7" s="306"/>
      <c r="AI7" s="305"/>
      <c r="AJ7" s="306" t="s">
        <v>26</v>
      </c>
      <c r="AK7" s="305"/>
      <c r="AL7" s="316"/>
      <c r="AM7" s="306" t="s">
        <v>27</v>
      </c>
      <c r="AN7" s="306"/>
      <c r="AO7" s="309"/>
      <c r="AP7" s="306" t="s">
        <v>28</v>
      </c>
      <c r="AQ7" s="306"/>
      <c r="AR7" s="309"/>
      <c r="AS7" s="306" t="s">
        <v>29</v>
      </c>
      <c r="AT7" s="306"/>
      <c r="AU7" s="309"/>
      <c r="AV7" s="372" t="s">
        <v>30</v>
      </c>
      <c r="AW7" s="373"/>
      <c r="AX7" s="374"/>
      <c r="AY7" s="305" t="s">
        <v>31</v>
      </c>
      <c r="AZ7" s="305"/>
      <c r="BA7" s="309"/>
      <c r="BB7" s="306" t="s">
        <v>32</v>
      </c>
      <c r="BC7" s="306"/>
      <c r="BD7" s="309"/>
      <c r="BE7" s="306" t="s">
        <v>33</v>
      </c>
      <c r="BF7" s="306"/>
      <c r="BG7" s="309"/>
      <c r="BH7" s="372" t="s">
        <v>34</v>
      </c>
      <c r="BI7" s="373"/>
      <c r="BJ7" s="374"/>
      <c r="BK7" s="322" t="s">
        <v>35</v>
      </c>
      <c r="BL7" s="322"/>
      <c r="BM7" s="309"/>
      <c r="BN7" s="312" t="s">
        <v>36</v>
      </c>
      <c r="BO7" s="312"/>
      <c r="BP7" s="309"/>
      <c r="BQ7" s="312" t="s">
        <v>37</v>
      </c>
      <c r="BR7" s="312"/>
      <c r="BS7" s="307"/>
      <c r="BT7" s="312" t="s">
        <v>38</v>
      </c>
      <c r="BU7" s="312"/>
      <c r="BV7" s="307"/>
      <c r="BW7" s="310" t="s">
        <v>39</v>
      </c>
      <c r="BX7" s="312"/>
      <c r="BY7" s="307"/>
      <c r="BZ7" s="310" t="s">
        <v>40</v>
      </c>
      <c r="CA7" s="312"/>
      <c r="CB7" s="307"/>
      <c r="CC7" s="313" t="s">
        <v>41</v>
      </c>
      <c r="CD7" s="312"/>
      <c r="CE7" s="307"/>
      <c r="CF7" s="310" t="s">
        <v>42</v>
      </c>
      <c r="CG7" s="312"/>
      <c r="CH7" s="307"/>
      <c r="CI7" s="312" t="s">
        <v>43</v>
      </c>
      <c r="CJ7" s="312"/>
      <c r="CK7" s="316"/>
      <c r="CL7" s="310" t="s">
        <v>44</v>
      </c>
      <c r="CM7" s="312"/>
      <c r="CN7" s="307"/>
      <c r="CO7" s="310" t="s">
        <v>45</v>
      </c>
      <c r="CP7" s="312"/>
      <c r="CQ7" s="307"/>
      <c r="CR7" s="310" t="s">
        <v>46</v>
      </c>
      <c r="CS7" s="312"/>
      <c r="CT7" s="307"/>
      <c r="CU7" s="310" t="s">
        <v>47</v>
      </c>
      <c r="CV7" s="310"/>
      <c r="CW7" s="354"/>
      <c r="CX7" s="375" t="s">
        <v>48</v>
      </c>
      <c r="CY7" s="376"/>
      <c r="CZ7" s="377"/>
      <c r="DA7" s="363" t="s">
        <v>49</v>
      </c>
      <c r="DB7" s="364"/>
      <c r="DC7" s="365"/>
      <c r="DD7" s="363" t="s">
        <v>50</v>
      </c>
      <c r="DE7" s="364"/>
      <c r="DF7" s="365"/>
      <c r="DG7" s="363" t="s">
        <v>51</v>
      </c>
      <c r="DH7" s="364"/>
      <c r="DI7" s="365"/>
      <c r="DJ7" s="363" t="s">
        <v>52</v>
      </c>
      <c r="DK7" s="364"/>
      <c r="DL7" s="365"/>
      <c r="DM7" s="357" t="s">
        <v>53</v>
      </c>
      <c r="DN7" s="358"/>
      <c r="DO7" s="359"/>
      <c r="DP7" s="366" t="s">
        <v>54</v>
      </c>
      <c r="DQ7" s="367"/>
      <c r="DR7" s="368"/>
      <c r="DS7" s="306" t="s">
        <v>55</v>
      </c>
      <c r="DT7" s="305"/>
      <c r="DU7" s="345"/>
      <c r="DV7" s="357" t="s">
        <v>56</v>
      </c>
      <c r="DW7" s="358"/>
      <c r="DX7" s="359"/>
      <c r="DY7" s="346" t="s">
        <v>57</v>
      </c>
      <c r="DZ7" s="347"/>
      <c r="EA7" s="318"/>
      <c r="EB7" s="299"/>
    </row>
    <row r="8" spans="1:133" s="348" customFormat="1" ht="40.5" customHeight="1" thickBot="1">
      <c r="A8" s="328"/>
      <c r="B8" s="329"/>
      <c r="C8" s="330" t="s">
        <v>58</v>
      </c>
      <c r="D8" s="330" t="s">
        <v>59</v>
      </c>
      <c r="E8" s="331" t="s">
        <v>60</v>
      </c>
      <c r="F8" s="330" t="s">
        <v>58</v>
      </c>
      <c r="G8" s="330" t="s">
        <v>59</v>
      </c>
      <c r="H8" s="331" t="s">
        <v>60</v>
      </c>
      <c r="I8" s="330" t="s">
        <v>58</v>
      </c>
      <c r="J8" s="330" t="s">
        <v>59</v>
      </c>
      <c r="K8" s="331" t="s">
        <v>60</v>
      </c>
      <c r="L8" s="330" t="s">
        <v>58</v>
      </c>
      <c r="M8" s="330" t="s">
        <v>59</v>
      </c>
      <c r="N8" s="331" t="s">
        <v>60</v>
      </c>
      <c r="O8" s="330" t="s">
        <v>58</v>
      </c>
      <c r="P8" s="330" t="s">
        <v>59</v>
      </c>
      <c r="Q8" s="331" t="s">
        <v>60</v>
      </c>
      <c r="R8" s="330" t="s">
        <v>58</v>
      </c>
      <c r="S8" s="330" t="s">
        <v>59</v>
      </c>
      <c r="T8" s="331" t="s">
        <v>60</v>
      </c>
      <c r="U8" s="330" t="s">
        <v>58</v>
      </c>
      <c r="V8" s="330" t="s">
        <v>59</v>
      </c>
      <c r="W8" s="331" t="s">
        <v>60</v>
      </c>
      <c r="X8" s="330" t="s">
        <v>58</v>
      </c>
      <c r="Y8" s="330" t="s">
        <v>59</v>
      </c>
      <c r="Z8" s="331" t="s">
        <v>60</v>
      </c>
      <c r="AA8" s="330" t="s">
        <v>58</v>
      </c>
      <c r="AB8" s="330" t="s">
        <v>59</v>
      </c>
      <c r="AC8" s="331" t="s">
        <v>60</v>
      </c>
      <c r="AD8" s="330" t="s">
        <v>58</v>
      </c>
      <c r="AE8" s="330" t="s">
        <v>59</v>
      </c>
      <c r="AF8" s="331" t="s">
        <v>60</v>
      </c>
      <c r="AG8" s="330" t="s">
        <v>58</v>
      </c>
      <c r="AH8" s="330" t="s">
        <v>59</v>
      </c>
      <c r="AI8" s="331" t="s">
        <v>60</v>
      </c>
      <c r="AJ8" s="330" t="s">
        <v>58</v>
      </c>
      <c r="AK8" s="330" t="s">
        <v>59</v>
      </c>
      <c r="AL8" s="331" t="s">
        <v>60</v>
      </c>
      <c r="AM8" s="330" t="s">
        <v>58</v>
      </c>
      <c r="AN8" s="330" t="s">
        <v>59</v>
      </c>
      <c r="AO8" s="331" t="s">
        <v>60</v>
      </c>
      <c r="AP8" s="330" t="s">
        <v>58</v>
      </c>
      <c r="AQ8" s="330" t="s">
        <v>59</v>
      </c>
      <c r="AR8" s="331" t="s">
        <v>60</v>
      </c>
      <c r="AS8" s="330" t="s">
        <v>58</v>
      </c>
      <c r="AT8" s="330" t="s">
        <v>59</v>
      </c>
      <c r="AU8" s="331" t="s">
        <v>60</v>
      </c>
      <c r="AV8" s="330" t="s">
        <v>58</v>
      </c>
      <c r="AW8" s="330" t="s">
        <v>59</v>
      </c>
      <c r="AX8" s="331" t="s">
        <v>60</v>
      </c>
      <c r="AY8" s="330" t="s">
        <v>58</v>
      </c>
      <c r="AZ8" s="330" t="s">
        <v>59</v>
      </c>
      <c r="BA8" s="331" t="s">
        <v>60</v>
      </c>
      <c r="BB8" s="330" t="s">
        <v>58</v>
      </c>
      <c r="BC8" s="330" t="s">
        <v>59</v>
      </c>
      <c r="BD8" s="331" t="s">
        <v>60</v>
      </c>
      <c r="BE8" s="330" t="s">
        <v>58</v>
      </c>
      <c r="BF8" s="330" t="s">
        <v>59</v>
      </c>
      <c r="BG8" s="331" t="s">
        <v>60</v>
      </c>
      <c r="BH8" s="330" t="s">
        <v>58</v>
      </c>
      <c r="BI8" s="330" t="s">
        <v>59</v>
      </c>
      <c r="BJ8" s="331" t="s">
        <v>60</v>
      </c>
      <c r="BK8" s="330" t="s">
        <v>58</v>
      </c>
      <c r="BL8" s="330" t="s">
        <v>59</v>
      </c>
      <c r="BM8" s="331" t="s">
        <v>60</v>
      </c>
      <c r="BN8" s="330" t="s">
        <v>58</v>
      </c>
      <c r="BO8" s="330" t="s">
        <v>59</v>
      </c>
      <c r="BP8" s="331" t="s">
        <v>60</v>
      </c>
      <c r="BQ8" s="330" t="s">
        <v>58</v>
      </c>
      <c r="BR8" s="330" t="s">
        <v>59</v>
      </c>
      <c r="BS8" s="331" t="s">
        <v>60</v>
      </c>
      <c r="BT8" s="330" t="s">
        <v>58</v>
      </c>
      <c r="BU8" s="330" t="s">
        <v>59</v>
      </c>
      <c r="BV8" s="331" t="s">
        <v>60</v>
      </c>
      <c r="BW8" s="330" t="s">
        <v>58</v>
      </c>
      <c r="BX8" s="330" t="s">
        <v>59</v>
      </c>
      <c r="BY8" s="331" t="s">
        <v>60</v>
      </c>
      <c r="BZ8" s="330" t="s">
        <v>58</v>
      </c>
      <c r="CA8" s="330" t="s">
        <v>59</v>
      </c>
      <c r="CB8" s="331" t="s">
        <v>60</v>
      </c>
      <c r="CC8" s="330" t="s">
        <v>58</v>
      </c>
      <c r="CD8" s="330" t="s">
        <v>59</v>
      </c>
      <c r="CE8" s="331" t="s">
        <v>60</v>
      </c>
      <c r="CF8" s="330" t="s">
        <v>58</v>
      </c>
      <c r="CG8" s="330" t="s">
        <v>59</v>
      </c>
      <c r="CH8" s="331" t="s">
        <v>60</v>
      </c>
      <c r="CI8" s="330" t="s">
        <v>58</v>
      </c>
      <c r="CJ8" s="330" t="s">
        <v>59</v>
      </c>
      <c r="CK8" s="331" t="s">
        <v>60</v>
      </c>
      <c r="CL8" s="330" t="s">
        <v>58</v>
      </c>
      <c r="CM8" s="330" t="s">
        <v>59</v>
      </c>
      <c r="CN8" s="331" t="s">
        <v>60</v>
      </c>
      <c r="CO8" s="330" t="s">
        <v>58</v>
      </c>
      <c r="CP8" s="330" t="s">
        <v>59</v>
      </c>
      <c r="CQ8" s="331" t="s">
        <v>60</v>
      </c>
      <c r="CR8" s="330" t="s">
        <v>58</v>
      </c>
      <c r="CS8" s="330" t="s">
        <v>59</v>
      </c>
      <c r="CT8" s="331" t="s">
        <v>60</v>
      </c>
      <c r="CU8" s="330" t="s">
        <v>58</v>
      </c>
      <c r="CV8" s="330" t="s">
        <v>59</v>
      </c>
      <c r="CW8" s="331" t="s">
        <v>60</v>
      </c>
      <c r="CX8" s="330" t="s">
        <v>58</v>
      </c>
      <c r="CY8" s="330" t="s">
        <v>59</v>
      </c>
      <c r="CZ8" s="331" t="s">
        <v>60</v>
      </c>
      <c r="DA8" s="330" t="s">
        <v>58</v>
      </c>
      <c r="DB8" s="330" t="s">
        <v>59</v>
      </c>
      <c r="DC8" s="331" t="s">
        <v>60</v>
      </c>
      <c r="DD8" s="330" t="s">
        <v>58</v>
      </c>
      <c r="DE8" s="330" t="s">
        <v>59</v>
      </c>
      <c r="DF8" s="331" t="s">
        <v>60</v>
      </c>
      <c r="DG8" s="330" t="s">
        <v>58</v>
      </c>
      <c r="DH8" s="330" t="s">
        <v>59</v>
      </c>
      <c r="DI8" s="331" t="s">
        <v>60</v>
      </c>
      <c r="DJ8" s="330" t="s">
        <v>58</v>
      </c>
      <c r="DK8" s="330" t="s">
        <v>59</v>
      </c>
      <c r="DL8" s="331" t="s">
        <v>60</v>
      </c>
      <c r="DM8" s="330" t="s">
        <v>58</v>
      </c>
      <c r="DN8" s="330" t="s">
        <v>59</v>
      </c>
      <c r="DO8" s="331" t="s">
        <v>60</v>
      </c>
      <c r="DP8" s="330" t="s">
        <v>58</v>
      </c>
      <c r="DQ8" s="330" t="s">
        <v>59</v>
      </c>
      <c r="DR8" s="331" t="s">
        <v>60</v>
      </c>
      <c r="DS8" s="330" t="s">
        <v>58</v>
      </c>
      <c r="DT8" s="330" t="s">
        <v>59</v>
      </c>
      <c r="DU8" s="331" t="s">
        <v>60</v>
      </c>
      <c r="DV8" s="330" t="s">
        <v>58</v>
      </c>
      <c r="DW8" s="330" t="s">
        <v>59</v>
      </c>
      <c r="DX8" s="331" t="s">
        <v>60</v>
      </c>
      <c r="DY8" s="330" t="s">
        <v>58</v>
      </c>
      <c r="DZ8" s="330" t="s">
        <v>59</v>
      </c>
      <c r="EA8" s="331" t="s">
        <v>60</v>
      </c>
      <c r="EB8" s="329"/>
    </row>
    <row r="9" spans="1:133" s="32" customFormat="1">
      <c r="A9" s="24" t="s">
        <v>61</v>
      </c>
      <c r="B9" s="25" t="s">
        <v>62</v>
      </c>
      <c r="C9" s="26">
        <f>SUM(C10:C11)</f>
        <v>3339790</v>
      </c>
      <c r="D9" s="27">
        <f>SUM(D10:D11)</f>
        <v>3339790</v>
      </c>
      <c r="E9" s="28">
        <f t="shared" ref="E9:T9" si="0">SUM(E10:E11)</f>
        <v>3317356</v>
      </c>
      <c r="F9" s="28">
        <f t="shared" si="0"/>
        <v>0</v>
      </c>
      <c r="G9" s="27">
        <f t="shared" si="0"/>
        <v>0</v>
      </c>
      <c r="H9" s="28">
        <f t="shared" si="0"/>
        <v>0</v>
      </c>
      <c r="I9" s="28">
        <f t="shared" si="0"/>
        <v>3339790</v>
      </c>
      <c r="J9" s="28">
        <f t="shared" si="0"/>
        <v>3339790</v>
      </c>
      <c r="K9" s="28">
        <f t="shared" si="0"/>
        <v>3317356</v>
      </c>
      <c r="L9" s="26">
        <f>SUM(L10:L11)</f>
        <v>0</v>
      </c>
      <c r="M9" s="27">
        <f>SUM(M10:M11)</f>
        <v>0</v>
      </c>
      <c r="N9" s="28">
        <f t="shared" si="0"/>
        <v>0</v>
      </c>
      <c r="O9" s="26">
        <f>SUM(O10:O11)</f>
        <v>0</v>
      </c>
      <c r="P9" s="27">
        <f>SUM(P10:P11)</f>
        <v>0</v>
      </c>
      <c r="Q9" s="28">
        <f t="shared" si="0"/>
        <v>0</v>
      </c>
      <c r="R9" s="27">
        <f>SUM(R10:R11)</f>
        <v>0</v>
      </c>
      <c r="S9" s="27">
        <f>SUM(S10:S11)</f>
        <v>0</v>
      </c>
      <c r="T9" s="28">
        <f t="shared" si="0"/>
        <v>0</v>
      </c>
      <c r="U9" s="28">
        <f>SUM(U10:U11)</f>
        <v>0</v>
      </c>
      <c r="V9" s="28">
        <f>SUM(V10:V11)</f>
        <v>0</v>
      </c>
      <c r="W9" s="28">
        <f>SUM(W10:W11)</f>
        <v>0</v>
      </c>
      <c r="X9" s="29">
        <f t="shared" ref="X9:BS9" si="1">SUM(X10:X11)</f>
        <v>0</v>
      </c>
      <c r="Y9" s="29">
        <f t="shared" si="1"/>
        <v>0</v>
      </c>
      <c r="Z9" s="28">
        <f t="shared" si="1"/>
        <v>0</v>
      </c>
      <c r="AA9" s="26">
        <f t="shared" si="1"/>
        <v>6146747</v>
      </c>
      <c r="AB9" s="80">
        <f t="shared" si="1"/>
        <v>6380800</v>
      </c>
      <c r="AC9" s="28">
        <f t="shared" si="1"/>
        <v>7677469</v>
      </c>
      <c r="AD9" s="26">
        <f t="shared" si="1"/>
        <v>364659</v>
      </c>
      <c r="AE9" s="80">
        <f t="shared" si="1"/>
        <v>407282</v>
      </c>
      <c r="AF9" s="85">
        <f t="shared" si="1"/>
        <v>474426</v>
      </c>
      <c r="AG9" s="80">
        <f>SUM(AG10:AG11)</f>
        <v>15024286</v>
      </c>
      <c r="AH9" s="80">
        <f>SUM(AH10:AH11)</f>
        <v>15420765</v>
      </c>
      <c r="AI9" s="28">
        <f t="shared" si="1"/>
        <v>16541549</v>
      </c>
      <c r="AJ9" s="26">
        <f>SUM(AJ10:AJ11)</f>
        <v>674224</v>
      </c>
      <c r="AK9" s="80">
        <f>SUM(AK10:AK11)</f>
        <v>703101</v>
      </c>
      <c r="AL9" s="85">
        <f t="shared" si="1"/>
        <v>784787</v>
      </c>
      <c r="AM9" s="80">
        <f>SUM(AM10:AM11)</f>
        <v>206820</v>
      </c>
      <c r="AN9" s="80">
        <f>SUM(AN10:AN11)</f>
        <v>213670</v>
      </c>
      <c r="AO9" s="85">
        <f t="shared" si="1"/>
        <v>232130</v>
      </c>
      <c r="AP9" s="80">
        <f>SUM(AP10:AP11)</f>
        <v>322607</v>
      </c>
      <c r="AQ9" s="80">
        <f>SUM(AQ10:AQ11)</f>
        <v>316787</v>
      </c>
      <c r="AR9" s="85">
        <f>SUM(AR10:AR11)</f>
        <v>466198</v>
      </c>
      <c r="AS9" s="80">
        <f t="shared" si="1"/>
        <v>6874</v>
      </c>
      <c r="AT9" s="80">
        <f>SUM(AT10:AT11)</f>
        <v>49404</v>
      </c>
      <c r="AU9" s="28">
        <f t="shared" si="1"/>
        <v>13000</v>
      </c>
      <c r="AV9" s="28">
        <f t="shared" si="1"/>
        <v>22746217</v>
      </c>
      <c r="AW9" s="28">
        <f t="shared" si="1"/>
        <v>23491809</v>
      </c>
      <c r="AX9" s="28">
        <f t="shared" si="1"/>
        <v>26189559</v>
      </c>
      <c r="AY9" s="27">
        <f>SUM(AY10:AY11)</f>
        <v>722500</v>
      </c>
      <c r="AZ9" s="27">
        <f>SUM(AZ10:AZ11)</f>
        <v>722500</v>
      </c>
      <c r="BA9" s="28">
        <f t="shared" si="1"/>
        <v>819600</v>
      </c>
      <c r="BB9" s="27">
        <f>SUM(BB10:BB11)</f>
        <v>680000</v>
      </c>
      <c r="BC9" s="27">
        <f>SUM(BC10:BC11)</f>
        <v>680000</v>
      </c>
      <c r="BD9" s="28">
        <f t="shared" si="1"/>
        <v>757665</v>
      </c>
      <c r="BE9" s="27">
        <f>SUM(BE10:BE11)</f>
        <v>12500</v>
      </c>
      <c r="BF9" s="27">
        <f>SUM(BF10:BF11)</f>
        <v>12500</v>
      </c>
      <c r="BG9" s="28">
        <f t="shared" si="1"/>
        <v>13800</v>
      </c>
      <c r="BH9" s="28">
        <f t="shared" si="1"/>
        <v>1415000</v>
      </c>
      <c r="BI9" s="28">
        <f t="shared" si="1"/>
        <v>1415000</v>
      </c>
      <c r="BJ9" s="28">
        <f t="shared" si="1"/>
        <v>1591065</v>
      </c>
      <c r="BK9" s="26">
        <f>SUM(BK10:BK11)</f>
        <v>446208</v>
      </c>
      <c r="BL9" s="27">
        <f>SUM(BL10:BL11)</f>
        <v>446208</v>
      </c>
      <c r="BM9" s="28">
        <f>SUM(BM10:BM11)</f>
        <v>544728</v>
      </c>
      <c r="BN9" s="26">
        <f t="shared" si="1"/>
        <v>0</v>
      </c>
      <c r="BO9" s="27">
        <f t="shared" si="1"/>
        <v>0</v>
      </c>
      <c r="BP9" s="28">
        <f t="shared" si="1"/>
        <v>0</v>
      </c>
      <c r="BQ9" s="26">
        <f>SUM(BQ10:BQ11)</f>
        <v>316908</v>
      </c>
      <c r="BR9" s="27">
        <f>SUM(BR10:BR11)</f>
        <v>316908</v>
      </c>
      <c r="BS9" s="28">
        <f t="shared" si="1"/>
        <v>435900</v>
      </c>
      <c r="BT9" s="26">
        <f>SUM(BT10:BT11)</f>
        <v>236860</v>
      </c>
      <c r="BU9" s="27">
        <f>SUM(BU10:BU11)</f>
        <v>236860</v>
      </c>
      <c r="BV9" s="28">
        <f t="shared" ref="BV9:DX9" si="2">SUM(BV10:BV11)</f>
        <v>298380</v>
      </c>
      <c r="BW9" s="26">
        <f t="shared" si="2"/>
        <v>294000</v>
      </c>
      <c r="BX9" s="31">
        <f t="shared" si="2"/>
        <v>294000</v>
      </c>
      <c r="BY9" s="28">
        <f t="shared" si="2"/>
        <v>388800</v>
      </c>
      <c r="BZ9" s="26">
        <f t="shared" si="2"/>
        <v>0</v>
      </c>
      <c r="CA9" s="27">
        <f t="shared" si="2"/>
        <v>98100</v>
      </c>
      <c r="CB9" s="28">
        <f t="shared" si="2"/>
        <v>232800</v>
      </c>
      <c r="CC9" s="26">
        <f t="shared" si="2"/>
        <v>0</v>
      </c>
      <c r="CD9" s="28">
        <f t="shared" si="2"/>
        <v>0</v>
      </c>
      <c r="CE9" s="28">
        <f t="shared" si="2"/>
        <v>0</v>
      </c>
      <c r="CF9" s="26">
        <f t="shared" si="2"/>
        <v>144000</v>
      </c>
      <c r="CG9" s="27">
        <f t="shared" si="2"/>
        <v>144000</v>
      </c>
      <c r="CH9" s="28">
        <f t="shared" si="2"/>
        <v>168000</v>
      </c>
      <c r="CI9" s="26">
        <f t="shared" si="2"/>
        <v>240000</v>
      </c>
      <c r="CJ9" s="27">
        <f t="shared" si="2"/>
        <v>240000</v>
      </c>
      <c r="CK9" s="28">
        <f t="shared" si="2"/>
        <v>291600</v>
      </c>
      <c r="CL9" s="26">
        <f t="shared" si="2"/>
        <v>0</v>
      </c>
      <c r="CM9" s="27">
        <f t="shared" si="2"/>
        <v>117700</v>
      </c>
      <c r="CN9" s="28">
        <f t="shared" si="2"/>
        <v>274800</v>
      </c>
      <c r="CO9" s="26">
        <f t="shared" si="2"/>
        <v>112915</v>
      </c>
      <c r="CP9" s="27">
        <f t="shared" si="2"/>
        <v>112915</v>
      </c>
      <c r="CQ9" s="28">
        <f t="shared" si="2"/>
        <v>182400</v>
      </c>
      <c r="CR9" s="28">
        <f>SUM(CR10:CR11)</f>
        <v>0</v>
      </c>
      <c r="CS9" s="27">
        <f>SUM(CS10:CS11)</f>
        <v>0</v>
      </c>
      <c r="CT9" s="28">
        <f t="shared" si="2"/>
        <v>0</v>
      </c>
      <c r="CU9" s="28">
        <f t="shared" si="2"/>
        <v>0</v>
      </c>
      <c r="CV9" s="28">
        <f t="shared" si="2"/>
        <v>0</v>
      </c>
      <c r="CW9" s="28">
        <f t="shared" si="2"/>
        <v>0</v>
      </c>
      <c r="CX9" s="28">
        <f t="shared" si="2"/>
        <v>1790891</v>
      </c>
      <c r="CY9" s="28">
        <f t="shared" si="2"/>
        <v>2006691</v>
      </c>
      <c r="CZ9" s="28">
        <f t="shared" si="2"/>
        <v>2817408</v>
      </c>
      <c r="DA9" s="26">
        <f>SUM(DA10:DA11)</f>
        <v>229500</v>
      </c>
      <c r="DB9" s="27">
        <f>SUM(DB10:DB11)</f>
        <v>229500</v>
      </c>
      <c r="DC9" s="28">
        <f>SUM(DC10:DC11)</f>
        <v>276000</v>
      </c>
      <c r="DD9" s="28">
        <f t="shared" si="2"/>
        <v>0</v>
      </c>
      <c r="DE9" s="28">
        <f t="shared" si="2"/>
        <v>0</v>
      </c>
      <c r="DF9" s="28">
        <f t="shared" si="2"/>
        <v>0</v>
      </c>
      <c r="DG9" s="28">
        <f t="shared" si="2"/>
        <v>0</v>
      </c>
      <c r="DH9" s="28">
        <f t="shared" si="2"/>
        <v>0</v>
      </c>
      <c r="DI9" s="28">
        <f t="shared" si="2"/>
        <v>0</v>
      </c>
      <c r="DJ9" s="28">
        <f>SUM(DJ10:DJ11)</f>
        <v>0</v>
      </c>
      <c r="DK9" s="28">
        <f>SUM(DK10:DK11)</f>
        <v>0</v>
      </c>
      <c r="DL9" s="28">
        <f>SUM(DL10:DL11)</f>
        <v>0</v>
      </c>
      <c r="DM9" s="28">
        <f t="shared" si="2"/>
        <v>229500</v>
      </c>
      <c r="DN9" s="28">
        <f t="shared" si="2"/>
        <v>229500</v>
      </c>
      <c r="DO9" s="28">
        <f t="shared" si="2"/>
        <v>276000</v>
      </c>
      <c r="DP9" s="28">
        <f t="shared" si="2"/>
        <v>0</v>
      </c>
      <c r="DQ9" s="28">
        <f t="shared" si="2"/>
        <v>0</v>
      </c>
      <c r="DR9" s="28">
        <f t="shared" si="2"/>
        <v>0</v>
      </c>
      <c r="DS9" s="28">
        <f t="shared" si="2"/>
        <v>0</v>
      </c>
      <c r="DT9" s="28">
        <f t="shared" si="2"/>
        <v>0</v>
      </c>
      <c r="DU9" s="28">
        <f t="shared" si="2"/>
        <v>0</v>
      </c>
      <c r="DV9" s="29">
        <f t="shared" si="2"/>
        <v>0</v>
      </c>
      <c r="DW9" s="29">
        <f t="shared" si="2"/>
        <v>0</v>
      </c>
      <c r="DX9" s="28">
        <f t="shared" si="2"/>
        <v>0</v>
      </c>
      <c r="DY9" s="29">
        <f>SUM(DY10:DY11)</f>
        <v>29521398</v>
      </c>
      <c r="DZ9" s="29">
        <f>SUM(DZ10:DZ11)</f>
        <v>30482790</v>
      </c>
      <c r="EA9" s="29">
        <f>SUM(EA10:EA11)</f>
        <v>34191388</v>
      </c>
      <c r="EB9" s="25" t="s">
        <v>62</v>
      </c>
      <c r="EC9" s="297"/>
    </row>
    <row r="10" spans="1:133">
      <c r="A10" s="33" t="s">
        <v>63</v>
      </c>
      <c r="B10" s="34" t="s">
        <v>64</v>
      </c>
      <c r="C10" s="35">
        <f>1439390+135400</f>
        <v>1574790</v>
      </c>
      <c r="D10" s="36">
        <v>1574790</v>
      </c>
      <c r="E10" s="36">
        <v>1226656</v>
      </c>
      <c r="F10" s="35"/>
      <c r="G10" s="36"/>
      <c r="H10" s="35"/>
      <c r="I10" s="35">
        <f t="shared" ref="I10:K11" si="3">SUM(C10,F10,)</f>
        <v>1574790</v>
      </c>
      <c r="J10" s="35">
        <f t="shared" si="3"/>
        <v>1574790</v>
      </c>
      <c r="K10" s="35">
        <f t="shared" si="3"/>
        <v>1226656</v>
      </c>
      <c r="L10" s="35"/>
      <c r="M10" s="36"/>
      <c r="N10" s="35"/>
      <c r="O10" s="35"/>
      <c r="P10" s="36"/>
      <c r="Q10" s="35"/>
      <c r="R10" s="36"/>
      <c r="S10" s="36"/>
      <c r="T10" s="35"/>
      <c r="U10" s="35"/>
      <c r="V10" s="35"/>
      <c r="W10" s="35"/>
      <c r="X10" s="37">
        <f t="shared" ref="X10:Z11" si="4">SUM(L10,O10,R10,U10)</f>
        <v>0</v>
      </c>
      <c r="Y10" s="37">
        <f t="shared" si="4"/>
        <v>0</v>
      </c>
      <c r="Z10" s="37">
        <f t="shared" si="4"/>
        <v>0</v>
      </c>
      <c r="AA10" s="35">
        <f>5909298+237449</f>
        <v>6146747</v>
      </c>
      <c r="AB10" s="81">
        <f>6146747-148459+3000+14322+82253+283437-500</f>
        <v>6380800</v>
      </c>
      <c r="AC10" s="35">
        <f>7223247+454222</f>
        <v>7677469</v>
      </c>
      <c r="AD10" s="35">
        <f>331846+32813</f>
        <v>364659</v>
      </c>
      <c r="AE10" s="81">
        <f>364659+31323+5211+3189+2900</f>
        <v>407282</v>
      </c>
      <c r="AF10" s="81">
        <f>32520+377474+64432</f>
        <v>474426</v>
      </c>
      <c r="AG10" s="81">
        <f>14621452+402834</f>
        <v>15024286</v>
      </c>
      <c r="AH10" s="81">
        <f>15024286+9867+156385+13417+2831+2914+13025+15682+15005+357+166233+763</f>
        <v>15420765</v>
      </c>
      <c r="AI10" s="35">
        <f>16241701+299848</f>
        <v>16541549</v>
      </c>
      <c r="AJ10" s="35">
        <f>673000+1224</f>
        <v>674224</v>
      </c>
      <c r="AK10" s="81">
        <f>674224+9000+32000+628+2011-14762</f>
        <v>703101</v>
      </c>
      <c r="AL10" s="81">
        <f>709000+75787</f>
        <v>784787</v>
      </c>
      <c r="AM10" s="81">
        <v>206820</v>
      </c>
      <c r="AN10" s="81">
        <f>206820+1447+5403</f>
        <v>213670</v>
      </c>
      <c r="AO10" s="81">
        <v>232130</v>
      </c>
      <c r="AP10" s="81">
        <f>292845+29762</f>
        <v>322607</v>
      </c>
      <c r="AQ10" s="81">
        <f>322607-8389+669+2000+2000-2100</f>
        <v>316787</v>
      </c>
      <c r="AR10" s="81">
        <f>407187+59011</f>
        <v>466198</v>
      </c>
      <c r="AS10" s="81">
        <v>6874</v>
      </c>
      <c r="AT10" s="81">
        <f>6874+13747+20561+4228+3000+994</f>
        <v>49404</v>
      </c>
      <c r="AU10" s="35">
        <v>13000</v>
      </c>
      <c r="AV10" s="37">
        <f t="shared" ref="AV10:AX11" si="5">SUM(AA10,AD10,AG10,AJ10,AM10,AP10,AS10)</f>
        <v>22746217</v>
      </c>
      <c r="AW10" s="37">
        <f t="shared" si="5"/>
        <v>23491809</v>
      </c>
      <c r="AX10" s="37">
        <f t="shared" si="5"/>
        <v>26189559</v>
      </c>
      <c r="AY10" s="36">
        <v>722500</v>
      </c>
      <c r="AZ10" s="36">
        <v>722500</v>
      </c>
      <c r="BA10" s="35">
        <f>782400+37200</f>
        <v>819600</v>
      </c>
      <c r="BB10" s="36">
        <v>680000</v>
      </c>
      <c r="BC10" s="36">
        <v>680000</v>
      </c>
      <c r="BD10" s="35">
        <f>742140+15525</f>
        <v>757665</v>
      </c>
      <c r="BE10" s="36">
        <v>12500</v>
      </c>
      <c r="BF10" s="36">
        <v>12500</v>
      </c>
      <c r="BG10" s="35">
        <v>13800</v>
      </c>
      <c r="BH10" s="37">
        <f t="shared" ref="BH10:BJ11" si="6">SUM(AY10,BB10,BE10)</f>
        <v>1415000</v>
      </c>
      <c r="BI10" s="37">
        <f t="shared" si="6"/>
        <v>1415000</v>
      </c>
      <c r="BJ10" s="37">
        <f t="shared" si="6"/>
        <v>1591065</v>
      </c>
      <c r="BK10" s="35">
        <v>446208</v>
      </c>
      <c r="BL10" s="36">
        <v>446208</v>
      </c>
      <c r="BM10" s="35">
        <v>544728</v>
      </c>
      <c r="BN10" s="35"/>
      <c r="BO10" s="36"/>
      <c r="BP10" s="35"/>
      <c r="BQ10" s="35">
        <v>316908</v>
      </c>
      <c r="BR10" s="36">
        <v>316908</v>
      </c>
      <c r="BS10" s="35">
        <v>435900</v>
      </c>
      <c r="BT10" s="35">
        <v>236860</v>
      </c>
      <c r="BU10" s="36">
        <v>236860</v>
      </c>
      <c r="BV10" s="35">
        <v>298380</v>
      </c>
      <c r="BW10" s="35">
        <v>294000</v>
      </c>
      <c r="BX10" s="36">
        <v>294000</v>
      </c>
      <c r="BY10" s="35">
        <v>388800</v>
      </c>
      <c r="BZ10" s="35"/>
      <c r="CA10" s="36">
        <v>98100</v>
      </c>
      <c r="CB10" s="35">
        <v>232800</v>
      </c>
      <c r="CC10" s="35"/>
      <c r="CD10" s="35"/>
      <c r="CE10" s="35"/>
      <c r="CF10" s="35">
        <v>144000</v>
      </c>
      <c r="CG10" s="36">
        <v>144000</v>
      </c>
      <c r="CH10" s="35">
        <v>168000</v>
      </c>
      <c r="CI10" s="35">
        <v>240000</v>
      </c>
      <c r="CJ10" s="36">
        <v>240000</v>
      </c>
      <c r="CK10" s="35">
        <v>291600</v>
      </c>
      <c r="CL10" s="35"/>
      <c r="CM10" s="36">
        <v>117700</v>
      </c>
      <c r="CN10" s="35">
        <v>274800</v>
      </c>
      <c r="CO10" s="35">
        <v>112915</v>
      </c>
      <c r="CP10" s="36">
        <v>112915</v>
      </c>
      <c r="CQ10" s="35">
        <v>182400</v>
      </c>
      <c r="CR10" s="35"/>
      <c r="CS10" s="36"/>
      <c r="CT10" s="35"/>
      <c r="CU10" s="35"/>
      <c r="CV10" s="35"/>
      <c r="CW10" s="35"/>
      <c r="CX10" s="37">
        <f t="shared" ref="CX10:CZ11" si="7">SUM(BK10,BN10,BQ10,BT10,CC10,BW10,CF10,CI10,CO10,CR10,CU10,CL10,BZ10)</f>
        <v>1790891</v>
      </c>
      <c r="CY10" s="37">
        <f t="shared" si="7"/>
        <v>2006691</v>
      </c>
      <c r="CZ10" s="37">
        <f t="shared" si="7"/>
        <v>2817408</v>
      </c>
      <c r="DA10" s="35">
        <v>229500</v>
      </c>
      <c r="DB10" s="36">
        <v>229500</v>
      </c>
      <c r="DC10" s="35">
        <v>276000</v>
      </c>
      <c r="DD10" s="35"/>
      <c r="DE10" s="35"/>
      <c r="DF10" s="35"/>
      <c r="DG10" s="35"/>
      <c r="DH10" s="35"/>
      <c r="DI10" s="35"/>
      <c r="DJ10" s="35"/>
      <c r="DK10" s="35"/>
      <c r="DL10" s="35"/>
      <c r="DM10" s="35">
        <f t="shared" ref="DM10:DO11" si="8">SUM(DA10,DD10,DG10)</f>
        <v>229500</v>
      </c>
      <c r="DN10" s="35">
        <f t="shared" si="8"/>
        <v>229500</v>
      </c>
      <c r="DO10" s="35">
        <f t="shared" si="8"/>
        <v>276000</v>
      </c>
      <c r="DP10" s="35"/>
      <c r="DQ10" s="35"/>
      <c r="DR10" s="35"/>
      <c r="DS10" s="35"/>
      <c r="DT10" s="35"/>
      <c r="DU10" s="35"/>
      <c r="DV10" s="37">
        <f t="shared" ref="DV10:DX11" si="9">SUM(DP10,DS10)</f>
        <v>0</v>
      </c>
      <c r="DW10" s="37">
        <f t="shared" si="9"/>
        <v>0</v>
      </c>
      <c r="DX10" s="37">
        <f t="shared" si="9"/>
        <v>0</v>
      </c>
      <c r="DY10" s="37">
        <f t="shared" ref="DY10:EA11" si="10">SUM(I10,X10,AV10,BH10,CX10,DM10,DV10)</f>
        <v>27756398</v>
      </c>
      <c r="DZ10" s="37">
        <f t="shared" si="10"/>
        <v>28717790</v>
      </c>
      <c r="EA10" s="37">
        <f t="shared" si="10"/>
        <v>32100688</v>
      </c>
      <c r="EB10" s="34" t="s">
        <v>64</v>
      </c>
      <c r="EC10" s="23"/>
    </row>
    <row r="11" spans="1:133">
      <c r="A11" s="33" t="s">
        <v>65</v>
      </c>
      <c r="B11" s="34" t="s">
        <v>66</v>
      </c>
      <c r="C11" s="35">
        <f>1625000+140000</f>
        <v>1765000</v>
      </c>
      <c r="D11" s="36">
        <v>1765000</v>
      </c>
      <c r="E11" s="36">
        <v>2090700</v>
      </c>
      <c r="F11" s="35"/>
      <c r="G11" s="36"/>
      <c r="H11" s="35"/>
      <c r="I11" s="35">
        <f t="shared" si="3"/>
        <v>1765000</v>
      </c>
      <c r="J11" s="35">
        <f t="shared" si="3"/>
        <v>1765000</v>
      </c>
      <c r="K11" s="35">
        <f t="shared" si="3"/>
        <v>2090700</v>
      </c>
      <c r="L11" s="35"/>
      <c r="M11" s="36"/>
      <c r="N11" s="35"/>
      <c r="O11" s="35"/>
      <c r="P11" s="36"/>
      <c r="Q11" s="35"/>
      <c r="R11" s="36"/>
      <c r="S11" s="36"/>
      <c r="T11" s="35"/>
      <c r="U11" s="35"/>
      <c r="V11" s="35"/>
      <c r="W11" s="35"/>
      <c r="X11" s="37">
        <f t="shared" si="4"/>
        <v>0</v>
      </c>
      <c r="Y11" s="37">
        <f t="shared" si="4"/>
        <v>0</v>
      </c>
      <c r="Z11" s="37">
        <f t="shared" si="4"/>
        <v>0</v>
      </c>
      <c r="AA11" s="35"/>
      <c r="AB11" s="81"/>
      <c r="AC11" s="35"/>
      <c r="AD11" s="35"/>
      <c r="AE11" s="81"/>
      <c r="AF11" s="81">
        <v>0</v>
      </c>
      <c r="AG11" s="81"/>
      <c r="AH11" s="81"/>
      <c r="AI11" s="35"/>
      <c r="AJ11" s="35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5">
        <v>0</v>
      </c>
      <c r="AV11" s="37">
        <f t="shared" si="5"/>
        <v>0</v>
      </c>
      <c r="AW11" s="37">
        <f t="shared" si="5"/>
        <v>0</v>
      </c>
      <c r="AX11" s="37">
        <f t="shared" si="5"/>
        <v>0</v>
      </c>
      <c r="AY11" s="36"/>
      <c r="AZ11" s="36"/>
      <c r="BA11" s="35"/>
      <c r="BB11" s="36"/>
      <c r="BC11" s="36"/>
      <c r="BD11" s="35"/>
      <c r="BE11" s="36"/>
      <c r="BF11" s="36"/>
      <c r="BG11" s="35"/>
      <c r="BH11" s="37">
        <f t="shared" si="6"/>
        <v>0</v>
      </c>
      <c r="BI11" s="37">
        <f t="shared" si="6"/>
        <v>0</v>
      </c>
      <c r="BJ11" s="37">
        <f t="shared" si="6"/>
        <v>0</v>
      </c>
      <c r="BK11" s="35"/>
      <c r="BL11" s="36"/>
      <c r="BM11" s="81"/>
      <c r="BN11" s="81"/>
      <c r="BO11" s="81"/>
      <c r="BP11" s="81"/>
      <c r="BQ11" s="35"/>
      <c r="BR11" s="36"/>
      <c r="BS11" s="35"/>
      <c r="BT11" s="35"/>
      <c r="BU11" s="36"/>
      <c r="BV11" s="35"/>
      <c r="BW11" s="35"/>
      <c r="BX11" s="36"/>
      <c r="BY11" s="35"/>
      <c r="BZ11" s="35"/>
      <c r="CA11" s="36"/>
      <c r="CB11" s="35"/>
      <c r="CC11" s="35"/>
      <c r="CD11" s="35"/>
      <c r="CE11" s="35"/>
      <c r="CF11" s="35"/>
      <c r="CG11" s="36"/>
      <c r="CH11" s="35"/>
      <c r="CI11" s="35"/>
      <c r="CJ11" s="36"/>
      <c r="CK11" s="35"/>
      <c r="CL11" s="35"/>
      <c r="CM11" s="36"/>
      <c r="CN11" s="35"/>
      <c r="CO11" s="35"/>
      <c r="CP11" s="36"/>
      <c r="CQ11" s="35"/>
      <c r="CR11" s="35"/>
      <c r="CS11" s="36"/>
      <c r="CT11" s="35"/>
      <c r="CU11" s="35"/>
      <c r="CV11" s="35"/>
      <c r="CW11" s="35"/>
      <c r="CX11" s="37">
        <f t="shared" si="7"/>
        <v>0</v>
      </c>
      <c r="CY11" s="37">
        <f t="shared" si="7"/>
        <v>0</v>
      </c>
      <c r="CZ11" s="37">
        <f t="shared" si="7"/>
        <v>0</v>
      </c>
      <c r="DA11" s="35"/>
      <c r="DB11" s="36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>
        <f t="shared" si="8"/>
        <v>0</v>
      </c>
      <c r="DN11" s="35">
        <f t="shared" si="8"/>
        <v>0</v>
      </c>
      <c r="DO11" s="35">
        <f t="shared" si="8"/>
        <v>0</v>
      </c>
      <c r="DP11" s="35"/>
      <c r="DQ11" s="35"/>
      <c r="DR11" s="35"/>
      <c r="DS11" s="35"/>
      <c r="DT11" s="35"/>
      <c r="DU11" s="35"/>
      <c r="DV11" s="37">
        <f t="shared" si="9"/>
        <v>0</v>
      </c>
      <c r="DW11" s="37">
        <f t="shared" si="9"/>
        <v>0</v>
      </c>
      <c r="DX11" s="37">
        <f t="shared" si="9"/>
        <v>0</v>
      </c>
      <c r="DY11" s="37">
        <f t="shared" si="10"/>
        <v>1765000</v>
      </c>
      <c r="DZ11" s="37">
        <f t="shared" si="10"/>
        <v>1765000</v>
      </c>
      <c r="EA11" s="37">
        <f t="shared" si="10"/>
        <v>2090700</v>
      </c>
      <c r="EB11" s="34" t="s">
        <v>66</v>
      </c>
      <c r="EC11" s="23"/>
    </row>
    <row r="12" spans="1:133" s="32" customFormat="1">
      <c r="A12" s="39" t="s">
        <v>67</v>
      </c>
      <c r="B12" s="25" t="s">
        <v>68</v>
      </c>
      <c r="C12" s="80">
        <f>SUM(C13:C17)</f>
        <v>1420</v>
      </c>
      <c r="D12" s="80">
        <f>SUM(D13:D17)</f>
        <v>20140</v>
      </c>
      <c r="E12" s="28">
        <f t="shared" ref="E12:T12" si="11">SUM(E13:E17)</f>
        <v>0</v>
      </c>
      <c r="F12" s="28">
        <f t="shared" si="11"/>
        <v>475</v>
      </c>
      <c r="G12" s="80">
        <f t="shared" si="11"/>
        <v>871154</v>
      </c>
      <c r="H12" s="28">
        <f t="shared" si="11"/>
        <v>0</v>
      </c>
      <c r="I12" s="28">
        <f t="shared" si="11"/>
        <v>1895</v>
      </c>
      <c r="J12" s="28">
        <f t="shared" si="11"/>
        <v>891294</v>
      </c>
      <c r="K12" s="28">
        <f t="shared" si="11"/>
        <v>0</v>
      </c>
      <c r="L12" s="26">
        <f>SUM(L13:L17)</f>
        <v>52800</v>
      </c>
      <c r="M12" s="27">
        <f>SUM(M13:M17)</f>
        <v>52800</v>
      </c>
      <c r="N12" s="28">
        <f t="shared" si="11"/>
        <v>52800</v>
      </c>
      <c r="O12" s="26">
        <f>SUM(O13:O17)</f>
        <v>122137</v>
      </c>
      <c r="P12" s="27">
        <f>SUM(P13:P17)</f>
        <v>122137</v>
      </c>
      <c r="Q12" s="28">
        <f t="shared" si="11"/>
        <v>149115</v>
      </c>
      <c r="R12" s="27">
        <f>SUM(R13:R17)</f>
        <v>15098</v>
      </c>
      <c r="S12" s="27">
        <f>SUM(S13:S17)</f>
        <v>15098</v>
      </c>
      <c r="T12" s="28">
        <f t="shared" si="11"/>
        <v>20193</v>
      </c>
      <c r="U12" s="28">
        <f>SUM(U13:U17)</f>
        <v>0</v>
      </c>
      <c r="V12" s="28">
        <f>SUM(V13:V17)</f>
        <v>0</v>
      </c>
      <c r="W12" s="28">
        <f>SUM(W13:W17)</f>
        <v>0</v>
      </c>
      <c r="X12" s="28">
        <f t="shared" ref="X12:BS12" si="12">SUM(X13:X17)</f>
        <v>190035</v>
      </c>
      <c r="Y12" s="28">
        <f t="shared" si="12"/>
        <v>190035</v>
      </c>
      <c r="Z12" s="28">
        <f t="shared" si="12"/>
        <v>222108</v>
      </c>
      <c r="AA12" s="26">
        <f t="shared" si="12"/>
        <v>773342</v>
      </c>
      <c r="AB12" s="80">
        <f t="shared" si="12"/>
        <v>888746</v>
      </c>
      <c r="AC12" s="28">
        <f t="shared" si="12"/>
        <v>608448</v>
      </c>
      <c r="AD12" s="26">
        <f t="shared" si="12"/>
        <v>24575</v>
      </c>
      <c r="AE12" s="80">
        <f t="shared" si="12"/>
        <v>27033</v>
      </c>
      <c r="AF12" s="85">
        <f t="shared" si="12"/>
        <v>42416</v>
      </c>
      <c r="AG12" s="80">
        <f>SUM(AG13:AG17)</f>
        <v>978529</v>
      </c>
      <c r="AH12" s="80">
        <f>SUM(AH13:AH17)</f>
        <v>1392959</v>
      </c>
      <c r="AI12" s="28">
        <f t="shared" si="12"/>
        <v>984626</v>
      </c>
      <c r="AJ12" s="26">
        <f>SUM(AJ13:AJ17)</f>
        <v>43691</v>
      </c>
      <c r="AK12" s="80">
        <f>SUM(AK13:AK17)</f>
        <v>57842</v>
      </c>
      <c r="AL12" s="85">
        <f t="shared" si="12"/>
        <v>47136</v>
      </c>
      <c r="AM12" s="80">
        <f>SUM(AM13:AM17)</f>
        <v>13950</v>
      </c>
      <c r="AN12" s="80">
        <f>SUM(AN13:AN17)</f>
        <v>11998</v>
      </c>
      <c r="AO12" s="85">
        <f t="shared" si="12"/>
        <v>10400</v>
      </c>
      <c r="AP12" s="80">
        <f>SUM(AP13:AP17)</f>
        <v>22558</v>
      </c>
      <c r="AQ12" s="80">
        <f>SUM(AQ13:AQ17)</f>
        <v>27158</v>
      </c>
      <c r="AR12" s="85">
        <f>SUM(AR13:AR17)</f>
        <v>34287</v>
      </c>
      <c r="AS12" s="80">
        <f t="shared" si="12"/>
        <v>0</v>
      </c>
      <c r="AT12" s="80">
        <f t="shared" si="12"/>
        <v>1707</v>
      </c>
      <c r="AU12" s="28">
        <f t="shared" si="12"/>
        <v>0</v>
      </c>
      <c r="AV12" s="28">
        <f t="shared" si="12"/>
        <v>1856645</v>
      </c>
      <c r="AW12" s="28">
        <f t="shared" si="12"/>
        <v>2407443</v>
      </c>
      <c r="AX12" s="28">
        <f t="shared" si="12"/>
        <v>1727313</v>
      </c>
      <c r="AY12" s="27">
        <f>SUM(AY13:AY17)</f>
        <v>130392</v>
      </c>
      <c r="AZ12" s="27">
        <f>SUM(AZ13:AZ17)</f>
        <v>130392</v>
      </c>
      <c r="BA12" s="28">
        <f t="shared" si="12"/>
        <v>137055</v>
      </c>
      <c r="BB12" s="27">
        <f>SUM(BB13:BB17)</f>
        <v>141254</v>
      </c>
      <c r="BC12" s="27">
        <f>SUM(BC13:BC17)</f>
        <v>127392</v>
      </c>
      <c r="BD12" s="28">
        <f t="shared" si="12"/>
        <v>89006</v>
      </c>
      <c r="BE12" s="27">
        <f>SUM(BE13:BE17)</f>
        <v>6460</v>
      </c>
      <c r="BF12" s="27">
        <f>SUM(BF13:BF17)</f>
        <v>6460</v>
      </c>
      <c r="BG12" s="28">
        <f t="shared" si="12"/>
        <v>14924</v>
      </c>
      <c r="BH12" s="28">
        <f t="shared" si="12"/>
        <v>278106</v>
      </c>
      <c r="BI12" s="28">
        <f t="shared" si="12"/>
        <v>264244</v>
      </c>
      <c r="BJ12" s="28">
        <f t="shared" si="12"/>
        <v>240985</v>
      </c>
      <c r="BK12" s="26">
        <f>SUM(BK13:BK17)</f>
        <v>26829</v>
      </c>
      <c r="BL12" s="27">
        <f>SUM(BL13:BL17)</f>
        <v>22823</v>
      </c>
      <c r="BM12" s="85">
        <f>SUM(BM13:BM17)</f>
        <v>29763</v>
      </c>
      <c r="BN12" s="80">
        <f t="shared" si="12"/>
        <v>10244</v>
      </c>
      <c r="BO12" s="80">
        <f t="shared" si="12"/>
        <v>133684</v>
      </c>
      <c r="BP12" s="85">
        <f t="shared" si="12"/>
        <v>3323</v>
      </c>
      <c r="BQ12" s="26">
        <f>SUM(BQ13:BQ17)</f>
        <v>19500</v>
      </c>
      <c r="BR12" s="27">
        <f>SUM(BR13:BR17)</f>
        <v>19500</v>
      </c>
      <c r="BS12" s="28">
        <f t="shared" si="12"/>
        <v>21722</v>
      </c>
      <c r="BT12" s="26">
        <f>SUM(BT13:BT17)</f>
        <v>7200</v>
      </c>
      <c r="BU12" s="27">
        <f>SUM(BU13:BU17)</f>
        <v>7200</v>
      </c>
      <c r="BV12" s="28">
        <f t="shared" ref="BV12:DX12" si="13">SUM(BV13:BV17)</f>
        <v>8400</v>
      </c>
      <c r="BW12" s="26">
        <f t="shared" si="13"/>
        <v>22000</v>
      </c>
      <c r="BX12" s="31">
        <f t="shared" si="13"/>
        <v>22000</v>
      </c>
      <c r="BY12" s="28">
        <f t="shared" si="13"/>
        <v>21600</v>
      </c>
      <c r="BZ12" s="26">
        <f t="shared" si="13"/>
        <v>0</v>
      </c>
      <c r="CA12" s="27">
        <f t="shared" si="13"/>
        <v>11500</v>
      </c>
      <c r="CB12" s="28">
        <f t="shared" si="13"/>
        <v>14400</v>
      </c>
      <c r="CC12" s="26">
        <f t="shared" si="13"/>
        <v>0</v>
      </c>
      <c r="CD12" s="28">
        <f t="shared" si="13"/>
        <v>0</v>
      </c>
      <c r="CE12" s="28">
        <f t="shared" si="13"/>
        <v>0</v>
      </c>
      <c r="CF12" s="26">
        <f t="shared" si="13"/>
        <v>8400</v>
      </c>
      <c r="CG12" s="27">
        <f t="shared" si="13"/>
        <v>8400</v>
      </c>
      <c r="CH12" s="28">
        <f t="shared" si="13"/>
        <v>12000</v>
      </c>
      <c r="CI12" s="26">
        <f t="shared" si="13"/>
        <v>17200</v>
      </c>
      <c r="CJ12" s="27">
        <f t="shared" si="13"/>
        <v>17200</v>
      </c>
      <c r="CK12" s="28">
        <f t="shared" si="13"/>
        <v>21200</v>
      </c>
      <c r="CL12" s="26">
        <f t="shared" si="13"/>
        <v>0</v>
      </c>
      <c r="CM12" s="27">
        <f t="shared" si="13"/>
        <v>20260</v>
      </c>
      <c r="CN12" s="28">
        <f t="shared" si="13"/>
        <v>13400</v>
      </c>
      <c r="CO12" s="26">
        <f t="shared" si="13"/>
        <v>849775</v>
      </c>
      <c r="CP12" s="27">
        <f t="shared" si="13"/>
        <v>849775</v>
      </c>
      <c r="CQ12" s="28">
        <f t="shared" si="13"/>
        <v>984717</v>
      </c>
      <c r="CR12" s="28">
        <f>SUM(CR13:CR17)</f>
        <v>27000</v>
      </c>
      <c r="CS12" s="30">
        <f>SUM(CS13:CS17)</f>
        <v>5125459</v>
      </c>
      <c r="CT12" s="28">
        <f t="shared" si="13"/>
        <v>37000</v>
      </c>
      <c r="CU12" s="28">
        <f t="shared" si="13"/>
        <v>0</v>
      </c>
      <c r="CV12" s="28">
        <f t="shared" si="13"/>
        <v>0</v>
      </c>
      <c r="CW12" s="28">
        <f t="shared" si="13"/>
        <v>0</v>
      </c>
      <c r="CX12" s="28">
        <f t="shared" si="13"/>
        <v>988148</v>
      </c>
      <c r="CY12" s="28">
        <f t="shared" si="13"/>
        <v>6237801</v>
      </c>
      <c r="CZ12" s="28">
        <f t="shared" si="13"/>
        <v>1167525</v>
      </c>
      <c r="DA12" s="26">
        <f>SUM(DA13:DA17)</f>
        <v>19380</v>
      </c>
      <c r="DB12" s="27">
        <f>SUM(DB13:DB17)</f>
        <v>29240</v>
      </c>
      <c r="DC12" s="28">
        <f>SUM(DC13:DC17)</f>
        <v>17380</v>
      </c>
      <c r="DD12" s="28">
        <f t="shared" si="13"/>
        <v>0</v>
      </c>
      <c r="DE12" s="28">
        <f t="shared" si="13"/>
        <v>0</v>
      </c>
      <c r="DF12" s="28">
        <f t="shared" si="13"/>
        <v>0</v>
      </c>
      <c r="DG12" s="28">
        <f t="shared" si="13"/>
        <v>0</v>
      </c>
      <c r="DH12" s="28">
        <f t="shared" si="13"/>
        <v>0</v>
      </c>
      <c r="DI12" s="28">
        <f t="shared" si="13"/>
        <v>0</v>
      </c>
      <c r="DJ12" s="28">
        <f>SUM(DJ13:DJ17)</f>
        <v>0</v>
      </c>
      <c r="DK12" s="28">
        <f>SUM(DK13:DK17)</f>
        <v>0</v>
      </c>
      <c r="DL12" s="28">
        <f>SUM(DL13:DL17)</f>
        <v>0</v>
      </c>
      <c r="DM12" s="28">
        <f t="shared" si="13"/>
        <v>19380</v>
      </c>
      <c r="DN12" s="28">
        <f t="shared" si="13"/>
        <v>29240</v>
      </c>
      <c r="DO12" s="28">
        <f t="shared" si="13"/>
        <v>17380</v>
      </c>
      <c r="DP12" s="28">
        <f t="shared" si="13"/>
        <v>0</v>
      </c>
      <c r="DQ12" s="28">
        <f t="shared" si="13"/>
        <v>0</v>
      </c>
      <c r="DR12" s="28">
        <f t="shared" si="13"/>
        <v>0</v>
      </c>
      <c r="DS12" s="28">
        <f t="shared" si="13"/>
        <v>0</v>
      </c>
      <c r="DT12" s="28">
        <f t="shared" si="13"/>
        <v>0</v>
      </c>
      <c r="DU12" s="28">
        <f t="shared" si="13"/>
        <v>0</v>
      </c>
      <c r="DV12" s="28">
        <f t="shared" si="13"/>
        <v>0</v>
      </c>
      <c r="DW12" s="28">
        <f t="shared" si="13"/>
        <v>0</v>
      </c>
      <c r="DX12" s="28">
        <f t="shared" si="13"/>
        <v>0</v>
      </c>
      <c r="DY12" s="29">
        <f>SUM(DY13:DY17)</f>
        <v>3334209</v>
      </c>
      <c r="DZ12" s="29">
        <f>SUM(DZ13:DZ17)</f>
        <v>10020057</v>
      </c>
      <c r="EA12" s="29">
        <f>SUM(EA13:EA17)</f>
        <v>3375311</v>
      </c>
      <c r="EB12" s="25" t="s">
        <v>68</v>
      </c>
      <c r="EC12" s="23"/>
    </row>
    <row r="13" spans="1:133" ht="13.5" customHeight="1">
      <c r="A13" s="33" t="s">
        <v>69</v>
      </c>
      <c r="B13" s="34" t="s">
        <v>70</v>
      </c>
      <c r="C13" s="81"/>
      <c r="D13" s="81"/>
      <c r="E13" s="35"/>
      <c r="F13" s="35"/>
      <c r="G13" s="81"/>
      <c r="H13" s="35"/>
      <c r="I13" s="35">
        <f t="shared" ref="I13:K17" si="14">SUM(C13,F13,)</f>
        <v>0</v>
      </c>
      <c r="J13" s="35">
        <f t="shared" si="14"/>
        <v>0</v>
      </c>
      <c r="K13" s="35">
        <f t="shared" si="14"/>
        <v>0</v>
      </c>
      <c r="L13" s="35"/>
      <c r="M13" s="36"/>
      <c r="N13" s="35"/>
      <c r="O13" s="35">
        <f>40000+74782</f>
        <v>114782</v>
      </c>
      <c r="P13" s="36">
        <v>114782</v>
      </c>
      <c r="Q13" s="35">
        <f>48000+84000</f>
        <v>132000</v>
      </c>
      <c r="R13" s="36"/>
      <c r="S13" s="36"/>
      <c r="T13" s="35"/>
      <c r="U13" s="35"/>
      <c r="V13" s="35"/>
      <c r="W13" s="35"/>
      <c r="X13" s="37">
        <f t="shared" ref="X13:Z17" si="15">SUM(L13,O13,R13,U13)</f>
        <v>114782</v>
      </c>
      <c r="Y13" s="37">
        <f t="shared" si="15"/>
        <v>114782</v>
      </c>
      <c r="Z13" s="37">
        <f t="shared" si="15"/>
        <v>132000</v>
      </c>
      <c r="AA13" s="35"/>
      <c r="AB13" s="81"/>
      <c r="AC13" s="35"/>
      <c r="AD13" s="35">
        <v>0</v>
      </c>
      <c r="AE13" s="81">
        <v>0</v>
      </c>
      <c r="AF13" s="81">
        <v>0</v>
      </c>
      <c r="AG13" s="81"/>
      <c r="AH13" s="81"/>
      <c r="AI13" s="35"/>
      <c r="AJ13" s="35">
        <v>2500</v>
      </c>
      <c r="AK13" s="81">
        <f>2500+1000</f>
        <v>3500</v>
      </c>
      <c r="AL13" s="81">
        <f>5000+2000</f>
        <v>7000</v>
      </c>
      <c r="AM13" s="81"/>
      <c r="AN13" s="81"/>
      <c r="AO13" s="81"/>
      <c r="AP13" s="81"/>
      <c r="AQ13" s="81"/>
      <c r="AR13" s="81"/>
      <c r="AS13" s="81"/>
      <c r="AT13" s="81"/>
      <c r="AU13" s="35">
        <v>0</v>
      </c>
      <c r="AV13" s="37">
        <f t="shared" ref="AV13:AX17" si="16">SUM(AA13,AD13,AG13,AJ13,AM13,AP13,AS13)</f>
        <v>2500</v>
      </c>
      <c r="AW13" s="37">
        <f t="shared" si="16"/>
        <v>3500</v>
      </c>
      <c r="AX13" s="37">
        <f t="shared" si="16"/>
        <v>7000</v>
      </c>
      <c r="AY13" s="36"/>
      <c r="AZ13" s="36"/>
      <c r="BA13" s="35"/>
      <c r="BB13" s="36"/>
      <c r="BC13" s="36"/>
      <c r="BD13" s="35"/>
      <c r="BE13" s="36"/>
      <c r="BF13" s="36"/>
      <c r="BG13" s="35"/>
      <c r="BH13" s="37">
        <f t="shared" ref="BH13:BJ17" si="17">SUM(AY13,BB13,BE13)</f>
        <v>0</v>
      </c>
      <c r="BI13" s="37">
        <f t="shared" si="17"/>
        <v>0</v>
      </c>
      <c r="BJ13" s="37">
        <f t="shared" si="17"/>
        <v>0</v>
      </c>
      <c r="BK13" s="35"/>
      <c r="BL13" s="36"/>
      <c r="BM13" s="81"/>
      <c r="BN13" s="81">
        <v>10244</v>
      </c>
      <c r="BO13" s="81">
        <f>10244+79855+6775+5693+28817</f>
        <v>131384</v>
      </c>
      <c r="BP13" s="81">
        <v>3323</v>
      </c>
      <c r="BQ13" s="35"/>
      <c r="BR13" s="36"/>
      <c r="BS13" s="35"/>
      <c r="BT13" s="35"/>
      <c r="BU13" s="36"/>
      <c r="BV13" s="35"/>
      <c r="BW13" s="35"/>
      <c r="BX13" s="36"/>
      <c r="BY13" s="35"/>
      <c r="BZ13" s="35"/>
      <c r="CA13" s="36"/>
      <c r="CB13" s="35"/>
      <c r="CC13" s="35"/>
      <c r="CD13" s="35"/>
      <c r="CE13" s="35"/>
      <c r="CF13" s="35"/>
      <c r="CG13" s="36"/>
      <c r="CH13" s="35"/>
      <c r="CI13" s="35"/>
      <c r="CJ13" s="36"/>
      <c r="CK13" s="35"/>
      <c r="CL13" s="35"/>
      <c r="CM13" s="36"/>
      <c r="CN13" s="35"/>
      <c r="CO13" s="35">
        <v>829775</v>
      </c>
      <c r="CP13" s="36">
        <v>829775</v>
      </c>
      <c r="CQ13" s="35">
        <v>952717</v>
      </c>
      <c r="CR13" s="35"/>
      <c r="CS13" s="38">
        <f>3680453+465823+460866+484487-91</f>
        <v>5091538</v>
      </c>
      <c r="CT13" s="35"/>
      <c r="CU13" s="35"/>
      <c r="CV13" s="35"/>
      <c r="CW13" s="35"/>
      <c r="CX13" s="37">
        <f t="shared" ref="CX13:CZ17" si="18">SUM(BK13,BN13,BQ13,BT13,CC13,BW13,CF13,CI13,CO13,CR13,CU13,CL13,BZ13)</f>
        <v>840019</v>
      </c>
      <c r="CY13" s="37">
        <f t="shared" si="18"/>
        <v>6052697</v>
      </c>
      <c r="CZ13" s="37">
        <f t="shared" si="18"/>
        <v>956040</v>
      </c>
      <c r="DA13" s="35"/>
      <c r="DB13" s="36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>
        <f t="shared" ref="DM13:DO17" si="19">SUM(DA13,DD13,DG13)</f>
        <v>0</v>
      </c>
      <c r="DN13" s="35">
        <f t="shared" si="19"/>
        <v>0</v>
      </c>
      <c r="DO13" s="35">
        <f t="shared" si="19"/>
        <v>0</v>
      </c>
      <c r="DP13" s="35"/>
      <c r="DQ13" s="35"/>
      <c r="DR13" s="35"/>
      <c r="DS13" s="35"/>
      <c r="DT13" s="35"/>
      <c r="DU13" s="35"/>
      <c r="DV13" s="37">
        <f t="shared" ref="DV13:DX17" si="20">SUM(DP13,DS13)</f>
        <v>0</v>
      </c>
      <c r="DW13" s="37">
        <f t="shared" si="20"/>
        <v>0</v>
      </c>
      <c r="DX13" s="37">
        <f t="shared" si="20"/>
        <v>0</v>
      </c>
      <c r="DY13" s="37">
        <f t="shared" ref="DY13:EA17" si="21">SUM(I13,X13,AV13,BH13,CX13,DM13,DV13)</f>
        <v>957301</v>
      </c>
      <c r="DZ13" s="37">
        <f t="shared" si="21"/>
        <v>6170979</v>
      </c>
      <c r="EA13" s="37">
        <f t="shared" si="21"/>
        <v>1095040</v>
      </c>
      <c r="EB13" s="34" t="s">
        <v>70</v>
      </c>
      <c r="EC13" s="23"/>
    </row>
    <row r="14" spans="1:133">
      <c r="A14" s="33" t="s">
        <v>71</v>
      </c>
      <c r="B14" s="34" t="s">
        <v>72</v>
      </c>
      <c r="C14" s="81">
        <v>1420</v>
      </c>
      <c r="D14" s="81">
        <f>1420+18720</f>
        <v>20140</v>
      </c>
      <c r="E14" s="35">
        <v>0</v>
      </c>
      <c r="F14" s="35">
        <v>0</v>
      </c>
      <c r="G14" s="82">
        <f>57903+122305-3877-14533</f>
        <v>161798</v>
      </c>
      <c r="H14" s="35">
        <v>0</v>
      </c>
      <c r="I14" s="35">
        <f t="shared" si="14"/>
        <v>1420</v>
      </c>
      <c r="J14" s="35">
        <f t="shared" si="14"/>
        <v>181938</v>
      </c>
      <c r="K14" s="35">
        <f t="shared" si="14"/>
        <v>0</v>
      </c>
      <c r="L14" s="35">
        <v>52800</v>
      </c>
      <c r="M14" s="36">
        <v>52800</v>
      </c>
      <c r="N14" s="35">
        <v>52800</v>
      </c>
      <c r="O14" s="35"/>
      <c r="P14" s="36"/>
      <c r="Q14" s="35"/>
      <c r="R14" s="36">
        <v>0</v>
      </c>
      <c r="S14" s="36">
        <v>0</v>
      </c>
      <c r="T14" s="35">
        <v>0</v>
      </c>
      <c r="U14" s="35">
        <v>0</v>
      </c>
      <c r="V14" s="35">
        <v>0</v>
      </c>
      <c r="W14" s="35">
        <v>0</v>
      </c>
      <c r="X14" s="37">
        <f t="shared" si="15"/>
        <v>52800</v>
      </c>
      <c r="Y14" s="37">
        <f t="shared" si="15"/>
        <v>52800</v>
      </c>
      <c r="Z14" s="37">
        <f t="shared" si="15"/>
        <v>52800</v>
      </c>
      <c r="AA14" s="35">
        <v>39000</v>
      </c>
      <c r="AB14" s="81">
        <f>39000+6000-2300</f>
        <v>42700</v>
      </c>
      <c r="AC14" s="35">
        <v>42000</v>
      </c>
      <c r="AD14" s="35">
        <v>960</v>
      </c>
      <c r="AE14" s="81">
        <f>960-960</f>
        <v>0</v>
      </c>
      <c r="AF14" s="81"/>
      <c r="AG14" s="81">
        <f>39201+11951</f>
        <v>51152</v>
      </c>
      <c r="AH14" s="81">
        <f>51152+5487+2769+949+1670+1983+3300</f>
        <v>67310</v>
      </c>
      <c r="AI14" s="35">
        <f>48680+11897</f>
        <v>60577</v>
      </c>
      <c r="AJ14" s="35"/>
      <c r="AK14" s="81"/>
      <c r="AL14" s="81"/>
      <c r="AM14" s="81">
        <v>2450</v>
      </c>
      <c r="AN14" s="81">
        <f>2450-61</f>
        <v>2389</v>
      </c>
      <c r="AO14" s="81"/>
      <c r="AP14" s="81">
        <v>1304</v>
      </c>
      <c r="AQ14" s="81">
        <f>1304-1304</f>
        <v>0</v>
      </c>
      <c r="AR14" s="81"/>
      <c r="AS14" s="81">
        <v>0</v>
      </c>
      <c r="AT14" s="81"/>
      <c r="AU14" s="35"/>
      <c r="AV14" s="37">
        <f t="shared" si="16"/>
        <v>94866</v>
      </c>
      <c r="AW14" s="37">
        <f t="shared" si="16"/>
        <v>112399</v>
      </c>
      <c r="AX14" s="37">
        <f t="shared" si="16"/>
        <v>102577</v>
      </c>
      <c r="AY14" s="36">
        <v>1500</v>
      </c>
      <c r="AZ14" s="36">
        <v>1500</v>
      </c>
      <c r="BA14" s="35"/>
      <c r="BB14" s="36">
        <v>0</v>
      </c>
      <c r="BC14" s="36">
        <v>0</v>
      </c>
      <c r="BD14" s="35">
        <v>0</v>
      </c>
      <c r="BE14" s="36"/>
      <c r="BF14" s="36"/>
      <c r="BG14" s="35"/>
      <c r="BH14" s="37">
        <f t="shared" si="17"/>
        <v>1500</v>
      </c>
      <c r="BI14" s="37">
        <f t="shared" si="17"/>
        <v>1500</v>
      </c>
      <c r="BJ14" s="37">
        <f t="shared" si="17"/>
        <v>0</v>
      </c>
      <c r="BK14" s="35">
        <v>0</v>
      </c>
      <c r="BL14" s="36">
        <v>0</v>
      </c>
      <c r="BM14" s="81">
        <v>0</v>
      </c>
      <c r="BN14" s="81">
        <v>0</v>
      </c>
      <c r="BO14" s="81">
        <v>0</v>
      </c>
      <c r="BP14" s="81">
        <v>0</v>
      </c>
      <c r="BQ14" s="35">
        <v>7600</v>
      </c>
      <c r="BR14" s="36">
        <v>7600</v>
      </c>
      <c r="BS14" s="35"/>
      <c r="BT14" s="35"/>
      <c r="BU14" s="36"/>
      <c r="BV14" s="35"/>
      <c r="BW14" s="35">
        <v>5000</v>
      </c>
      <c r="BX14" s="36">
        <v>5000</v>
      </c>
      <c r="BY14" s="35">
        <v>2000</v>
      </c>
      <c r="BZ14" s="35"/>
      <c r="CA14" s="36">
        <v>2000</v>
      </c>
      <c r="CB14" s="35">
        <v>2000</v>
      </c>
      <c r="CC14" s="35">
        <v>0</v>
      </c>
      <c r="CD14" s="35"/>
      <c r="CE14" s="35">
        <v>0</v>
      </c>
      <c r="CF14" s="35">
        <v>0</v>
      </c>
      <c r="CG14" s="36">
        <v>0</v>
      </c>
      <c r="CH14" s="35">
        <v>0</v>
      </c>
      <c r="CI14" s="35">
        <v>5000</v>
      </c>
      <c r="CJ14" s="36">
        <v>5000</v>
      </c>
      <c r="CK14" s="35">
        <v>4000</v>
      </c>
      <c r="CL14" s="35"/>
      <c r="CM14" s="36"/>
      <c r="CN14" s="35"/>
      <c r="CO14" s="35"/>
      <c r="CP14" s="36"/>
      <c r="CQ14" s="35"/>
      <c r="CR14" s="35">
        <v>2000</v>
      </c>
      <c r="CS14" s="36">
        <v>2000</v>
      </c>
      <c r="CT14" s="35">
        <v>5000</v>
      </c>
      <c r="CU14" s="35">
        <v>0</v>
      </c>
      <c r="CV14" s="35">
        <v>0</v>
      </c>
      <c r="CW14" s="35">
        <v>0</v>
      </c>
      <c r="CX14" s="37">
        <f t="shared" si="18"/>
        <v>19600</v>
      </c>
      <c r="CY14" s="37">
        <f t="shared" si="18"/>
        <v>21600</v>
      </c>
      <c r="CZ14" s="37">
        <f t="shared" si="18"/>
        <v>13000</v>
      </c>
      <c r="DA14" s="35">
        <f>4080+4000</f>
        <v>8080</v>
      </c>
      <c r="DB14" s="38">
        <f>8080+9860+2000</f>
        <v>19940</v>
      </c>
      <c r="DC14" s="35">
        <v>8000</v>
      </c>
      <c r="DD14" s="35">
        <v>0</v>
      </c>
      <c r="DE14" s="35">
        <v>0</v>
      </c>
      <c r="DF14" s="35">
        <v>0</v>
      </c>
      <c r="DG14" s="35">
        <v>0</v>
      </c>
      <c r="DH14" s="35">
        <v>0</v>
      </c>
      <c r="DI14" s="35">
        <v>0</v>
      </c>
      <c r="DJ14" s="35">
        <v>0</v>
      </c>
      <c r="DK14" s="35">
        <v>0</v>
      </c>
      <c r="DL14" s="35">
        <v>0</v>
      </c>
      <c r="DM14" s="35">
        <f t="shared" si="19"/>
        <v>8080</v>
      </c>
      <c r="DN14" s="35">
        <f t="shared" si="19"/>
        <v>19940</v>
      </c>
      <c r="DO14" s="35">
        <f t="shared" si="19"/>
        <v>8000</v>
      </c>
      <c r="DP14" s="35">
        <v>0</v>
      </c>
      <c r="DQ14" s="35">
        <v>0</v>
      </c>
      <c r="DR14" s="35">
        <v>0</v>
      </c>
      <c r="DS14" s="35">
        <v>0</v>
      </c>
      <c r="DT14" s="35">
        <v>0</v>
      </c>
      <c r="DU14" s="35">
        <v>0</v>
      </c>
      <c r="DV14" s="37">
        <f t="shared" si="20"/>
        <v>0</v>
      </c>
      <c r="DW14" s="37">
        <f t="shared" si="20"/>
        <v>0</v>
      </c>
      <c r="DX14" s="37">
        <f t="shared" si="20"/>
        <v>0</v>
      </c>
      <c r="DY14" s="37">
        <f t="shared" si="21"/>
        <v>178266</v>
      </c>
      <c r="DZ14" s="37">
        <f t="shared" si="21"/>
        <v>390177</v>
      </c>
      <c r="EA14" s="37">
        <f t="shared" si="21"/>
        <v>176377</v>
      </c>
      <c r="EB14" s="34" t="s">
        <v>72</v>
      </c>
      <c r="EC14" s="23"/>
    </row>
    <row r="15" spans="1:133">
      <c r="A15" s="33" t="s">
        <v>73</v>
      </c>
      <c r="B15" s="40" t="s">
        <v>74</v>
      </c>
      <c r="C15" s="35"/>
      <c r="D15" s="36"/>
      <c r="E15" s="35"/>
      <c r="F15" s="35"/>
      <c r="G15" s="81"/>
      <c r="H15" s="35"/>
      <c r="I15" s="35">
        <f t="shared" si="14"/>
        <v>0</v>
      </c>
      <c r="J15" s="35">
        <f t="shared" si="14"/>
        <v>0</v>
      </c>
      <c r="K15" s="35">
        <f t="shared" si="14"/>
        <v>0</v>
      </c>
      <c r="L15" s="35"/>
      <c r="M15" s="36"/>
      <c r="N15" s="35"/>
      <c r="O15" s="35">
        <f>705+1200</f>
        <v>1905</v>
      </c>
      <c r="P15" s="36">
        <v>1905</v>
      </c>
      <c r="Q15" s="35">
        <f>845+1420</f>
        <v>2265</v>
      </c>
      <c r="R15" s="36"/>
      <c r="S15" s="36"/>
      <c r="T15" s="35"/>
      <c r="U15" s="35"/>
      <c r="V15" s="35"/>
      <c r="W15" s="35"/>
      <c r="X15" s="37">
        <f t="shared" si="15"/>
        <v>1905</v>
      </c>
      <c r="Y15" s="37">
        <f t="shared" si="15"/>
        <v>1905</v>
      </c>
      <c r="Z15" s="37">
        <f t="shared" si="15"/>
        <v>2265</v>
      </c>
      <c r="AA15" s="35">
        <f>209710+1000</f>
        <v>210710</v>
      </c>
      <c r="AB15" s="81">
        <f>210710-25700</f>
        <v>185010</v>
      </c>
      <c r="AC15" s="35">
        <f>217400+5784</f>
        <v>223184</v>
      </c>
      <c r="AD15" s="35">
        <f>11892+2291</f>
        <v>14183</v>
      </c>
      <c r="AE15" s="81">
        <f>14183+1360-230+300</f>
        <v>15613</v>
      </c>
      <c r="AF15" s="81">
        <f>800+14521+3760</f>
        <v>19081</v>
      </c>
      <c r="AG15" s="81">
        <f>495491+14104</f>
        <v>509595</v>
      </c>
      <c r="AH15" s="81">
        <f>509595+7907+7000-10198-15500</f>
        <v>498804</v>
      </c>
      <c r="AI15" s="35">
        <f>474367+53483</f>
        <v>527850</v>
      </c>
      <c r="AJ15" s="35">
        <f>15058+53</f>
        <v>15111</v>
      </c>
      <c r="AK15" s="81">
        <f>15111+3000</f>
        <v>18111</v>
      </c>
      <c r="AL15" s="81">
        <f>20100+188</f>
        <v>20288</v>
      </c>
      <c r="AM15" s="81">
        <v>8500</v>
      </c>
      <c r="AN15" s="81">
        <f>8500-1404</f>
        <v>7096</v>
      </c>
      <c r="AO15" s="81">
        <v>7900</v>
      </c>
      <c r="AP15" s="81">
        <f>8346+2263</f>
        <v>10609</v>
      </c>
      <c r="AQ15" s="81">
        <f>10609+2000+1504-300</f>
        <v>13813</v>
      </c>
      <c r="AR15" s="81">
        <f>14092+3348</f>
        <v>17440</v>
      </c>
      <c r="AS15" s="81"/>
      <c r="AT15" s="81">
        <f>400+350</f>
        <v>750</v>
      </c>
      <c r="AU15" s="35">
        <v>0</v>
      </c>
      <c r="AV15" s="37">
        <f t="shared" si="16"/>
        <v>768708</v>
      </c>
      <c r="AW15" s="37">
        <f t="shared" si="16"/>
        <v>739197</v>
      </c>
      <c r="AX15" s="37">
        <f t="shared" si="16"/>
        <v>815743</v>
      </c>
      <c r="AY15" s="36">
        <v>14650</v>
      </c>
      <c r="AZ15" s="36">
        <v>14650</v>
      </c>
      <c r="BA15" s="35">
        <v>15307</v>
      </c>
      <c r="BB15" s="36">
        <v>12895</v>
      </c>
      <c r="BC15" s="36">
        <v>12895</v>
      </c>
      <c r="BD15" s="35">
        <v>14232</v>
      </c>
      <c r="BE15" s="36">
        <v>300</v>
      </c>
      <c r="BF15" s="36">
        <v>300</v>
      </c>
      <c r="BG15" s="35">
        <v>316</v>
      </c>
      <c r="BH15" s="37">
        <f t="shared" si="17"/>
        <v>27845</v>
      </c>
      <c r="BI15" s="37">
        <f t="shared" si="17"/>
        <v>27845</v>
      </c>
      <c r="BJ15" s="37">
        <f t="shared" si="17"/>
        <v>29855</v>
      </c>
      <c r="BK15" s="35">
        <v>8153</v>
      </c>
      <c r="BL15" s="36">
        <v>8153</v>
      </c>
      <c r="BM15" s="81">
        <v>9975</v>
      </c>
      <c r="BN15" s="81"/>
      <c r="BO15" s="81"/>
      <c r="BP15" s="81"/>
      <c r="BQ15" s="35">
        <v>7600</v>
      </c>
      <c r="BR15" s="36">
        <v>7600</v>
      </c>
      <c r="BS15" s="35">
        <v>8700</v>
      </c>
      <c r="BT15" s="35">
        <v>4500</v>
      </c>
      <c r="BU15" s="36">
        <v>4500</v>
      </c>
      <c r="BV15" s="35">
        <v>5900</v>
      </c>
      <c r="BW15" s="35">
        <v>7000</v>
      </c>
      <c r="BX15" s="36">
        <v>7000</v>
      </c>
      <c r="BY15" s="35">
        <v>8600</v>
      </c>
      <c r="BZ15" s="35"/>
      <c r="CA15" s="36">
        <v>2500</v>
      </c>
      <c r="CB15" s="35">
        <v>6400</v>
      </c>
      <c r="CC15" s="35"/>
      <c r="CD15" s="35"/>
      <c r="CE15" s="35"/>
      <c r="CF15" s="35">
        <v>3400</v>
      </c>
      <c r="CG15" s="36">
        <v>3400</v>
      </c>
      <c r="CH15" s="35">
        <v>4000</v>
      </c>
      <c r="CI15" s="35">
        <v>5200</v>
      </c>
      <c r="CJ15" s="36">
        <v>5200</v>
      </c>
      <c r="CK15" s="35">
        <v>6200</v>
      </c>
      <c r="CL15" s="35"/>
      <c r="CM15" s="36">
        <v>3000</v>
      </c>
      <c r="CN15" s="35">
        <v>7400</v>
      </c>
      <c r="CO15" s="35">
        <v>3000</v>
      </c>
      <c r="CP15" s="36">
        <v>3000</v>
      </c>
      <c r="CQ15" s="35">
        <v>5000</v>
      </c>
      <c r="CR15" s="35"/>
      <c r="CS15" s="36"/>
      <c r="CT15" s="35"/>
      <c r="CU15" s="35"/>
      <c r="CV15" s="35"/>
      <c r="CW15" s="35"/>
      <c r="CX15" s="37">
        <f t="shared" si="18"/>
        <v>38853</v>
      </c>
      <c r="CY15" s="37">
        <f t="shared" si="18"/>
        <v>44353</v>
      </c>
      <c r="CZ15" s="37">
        <f t="shared" si="18"/>
        <v>62175</v>
      </c>
      <c r="DA15" s="35">
        <f>1000+4000</f>
        <v>5000</v>
      </c>
      <c r="DB15" s="36">
        <v>5000</v>
      </c>
      <c r="DC15" s="35">
        <v>5880</v>
      </c>
      <c r="DD15" s="35"/>
      <c r="DE15" s="35"/>
      <c r="DF15" s="35"/>
      <c r="DG15" s="35"/>
      <c r="DH15" s="35"/>
      <c r="DI15" s="35"/>
      <c r="DJ15" s="35"/>
      <c r="DK15" s="35"/>
      <c r="DL15" s="35"/>
      <c r="DM15" s="35">
        <f t="shared" si="19"/>
        <v>5000</v>
      </c>
      <c r="DN15" s="35">
        <f t="shared" si="19"/>
        <v>5000</v>
      </c>
      <c r="DO15" s="35">
        <f t="shared" si="19"/>
        <v>5880</v>
      </c>
      <c r="DP15" s="35"/>
      <c r="DQ15" s="35"/>
      <c r="DR15" s="35"/>
      <c r="DS15" s="35"/>
      <c r="DT15" s="35"/>
      <c r="DU15" s="35"/>
      <c r="DV15" s="37">
        <f t="shared" si="20"/>
        <v>0</v>
      </c>
      <c r="DW15" s="37">
        <f t="shared" si="20"/>
        <v>0</v>
      </c>
      <c r="DX15" s="37">
        <f t="shared" si="20"/>
        <v>0</v>
      </c>
      <c r="DY15" s="37">
        <f t="shared" si="21"/>
        <v>842311</v>
      </c>
      <c r="DZ15" s="37">
        <f t="shared" si="21"/>
        <v>818300</v>
      </c>
      <c r="EA15" s="37">
        <f t="shared" si="21"/>
        <v>915918</v>
      </c>
      <c r="EB15" s="40" t="s">
        <v>74</v>
      </c>
      <c r="EC15" s="23"/>
    </row>
    <row r="16" spans="1:133">
      <c r="A16" s="33" t="s">
        <v>75</v>
      </c>
      <c r="B16" s="40" t="s">
        <v>76</v>
      </c>
      <c r="C16" s="35"/>
      <c r="D16" s="36"/>
      <c r="E16" s="35"/>
      <c r="F16" s="35"/>
      <c r="G16" s="81"/>
      <c r="H16" s="35"/>
      <c r="I16" s="35">
        <f t="shared" si="14"/>
        <v>0</v>
      </c>
      <c r="J16" s="35">
        <f t="shared" si="14"/>
        <v>0</v>
      </c>
      <c r="K16" s="35">
        <f t="shared" si="14"/>
        <v>0</v>
      </c>
      <c r="L16" s="35"/>
      <c r="M16" s="36"/>
      <c r="N16" s="35"/>
      <c r="O16" s="35">
        <f>200+3300</f>
        <v>3500</v>
      </c>
      <c r="P16" s="36">
        <v>3500</v>
      </c>
      <c r="Q16" s="35">
        <v>12850</v>
      </c>
      <c r="R16" s="36"/>
      <c r="S16" s="36"/>
      <c r="T16" s="35"/>
      <c r="U16" s="35"/>
      <c r="V16" s="35"/>
      <c r="W16" s="35"/>
      <c r="X16" s="37">
        <f t="shared" si="15"/>
        <v>3500</v>
      </c>
      <c r="Y16" s="37">
        <f t="shared" si="15"/>
        <v>3500</v>
      </c>
      <c r="Z16" s="37">
        <f t="shared" si="15"/>
        <v>12850</v>
      </c>
      <c r="AA16" s="35">
        <f>328500+92696</f>
        <v>421196</v>
      </c>
      <c r="AB16" s="81">
        <f>421196+93946+281178+101057+119020-447697</f>
        <v>568700</v>
      </c>
      <c r="AC16" s="35">
        <f>120583+122322</f>
        <v>242905</v>
      </c>
      <c r="AD16" s="35">
        <v>2000</v>
      </c>
      <c r="AE16" s="81">
        <v>2000</v>
      </c>
      <c r="AF16" s="81">
        <f>10970+2000</f>
        <v>12970</v>
      </c>
      <c r="AG16" s="81">
        <f>160638+131248</f>
        <v>291886</v>
      </c>
      <c r="AH16" s="81">
        <f>291886+80675+199898+48140-52223+260259+27455-187734</f>
        <v>668356</v>
      </c>
      <c r="AI16" s="35">
        <f>96910+172797</f>
        <v>269707</v>
      </c>
      <c r="AJ16" s="35">
        <v>20000</v>
      </c>
      <c r="AK16" s="81">
        <f>20000+6151</f>
        <v>26151</v>
      </c>
      <c r="AL16" s="81">
        <v>10000</v>
      </c>
      <c r="AM16" s="81">
        <v>500</v>
      </c>
      <c r="AN16" s="81">
        <f>500-500</f>
        <v>0</v>
      </c>
      <c r="AO16" s="81"/>
      <c r="AP16" s="81">
        <v>5700</v>
      </c>
      <c r="AQ16" s="81">
        <v>5700</v>
      </c>
      <c r="AR16" s="81">
        <v>1500</v>
      </c>
      <c r="AS16" s="81"/>
      <c r="AT16" s="81"/>
      <c r="AU16" s="35">
        <v>0</v>
      </c>
      <c r="AV16" s="37">
        <f t="shared" si="16"/>
        <v>741282</v>
      </c>
      <c r="AW16" s="37">
        <f t="shared" si="16"/>
        <v>1270907</v>
      </c>
      <c r="AX16" s="37">
        <f t="shared" si="16"/>
        <v>537082</v>
      </c>
      <c r="AY16" s="36">
        <v>100242</v>
      </c>
      <c r="AZ16" s="36">
        <v>100242</v>
      </c>
      <c r="BA16" s="35">
        <f>150109-44361</f>
        <v>105748</v>
      </c>
      <c r="BB16" s="36">
        <v>112359</v>
      </c>
      <c r="BC16" s="36">
        <f>112359-13862</f>
        <v>98497</v>
      </c>
      <c r="BD16" s="35">
        <f>77289-15525-2990</f>
        <v>58774</v>
      </c>
      <c r="BE16" s="36">
        <v>4660</v>
      </c>
      <c r="BF16" s="36">
        <v>4660</v>
      </c>
      <c r="BG16" s="35">
        <v>14108</v>
      </c>
      <c r="BH16" s="37">
        <f t="shared" si="17"/>
        <v>217261</v>
      </c>
      <c r="BI16" s="37">
        <f t="shared" si="17"/>
        <v>203399</v>
      </c>
      <c r="BJ16" s="37">
        <f t="shared" si="17"/>
        <v>178630</v>
      </c>
      <c r="BK16" s="35">
        <v>13676</v>
      </c>
      <c r="BL16" s="36">
        <f>13676-4006</f>
        <v>9670</v>
      </c>
      <c r="BM16" s="81">
        <v>14788</v>
      </c>
      <c r="BN16" s="81"/>
      <c r="BO16" s="81"/>
      <c r="BP16" s="81"/>
      <c r="BQ16" s="35">
        <v>800</v>
      </c>
      <c r="BR16" s="36">
        <v>800</v>
      </c>
      <c r="BS16" s="35">
        <v>9522</v>
      </c>
      <c r="BT16" s="35">
        <v>700</v>
      </c>
      <c r="BU16" s="36">
        <v>700</v>
      </c>
      <c r="BV16" s="35">
        <v>500</v>
      </c>
      <c r="BW16" s="35">
        <v>2000</v>
      </c>
      <c r="BX16" s="36">
        <v>2000</v>
      </c>
      <c r="BY16" s="35">
        <v>2000</v>
      </c>
      <c r="BZ16" s="35"/>
      <c r="CA16" s="36">
        <v>4000</v>
      </c>
      <c r="CB16" s="35">
        <v>1000</v>
      </c>
      <c r="CC16" s="35"/>
      <c r="CD16" s="35"/>
      <c r="CE16" s="35"/>
      <c r="CF16" s="35"/>
      <c r="CG16" s="36"/>
      <c r="CH16" s="35">
        <v>2000</v>
      </c>
      <c r="CI16" s="35"/>
      <c r="CJ16" s="36"/>
      <c r="CK16" s="35">
        <v>2000</v>
      </c>
      <c r="CL16" s="35"/>
      <c r="CM16" s="36">
        <v>14260</v>
      </c>
      <c r="CN16" s="35">
        <v>1000</v>
      </c>
      <c r="CO16" s="35">
        <v>8000</v>
      </c>
      <c r="CP16" s="36">
        <v>8000</v>
      </c>
      <c r="CQ16" s="35">
        <v>14000</v>
      </c>
      <c r="CR16" s="35">
        <v>25000</v>
      </c>
      <c r="CS16" s="36">
        <v>25000</v>
      </c>
      <c r="CT16" s="35">
        <v>32000</v>
      </c>
      <c r="CU16" s="35"/>
      <c r="CV16" s="35"/>
      <c r="CW16" s="35"/>
      <c r="CX16" s="37">
        <f t="shared" si="18"/>
        <v>50176</v>
      </c>
      <c r="CY16" s="37">
        <f t="shared" si="18"/>
        <v>64430</v>
      </c>
      <c r="CZ16" s="37">
        <f t="shared" si="18"/>
        <v>78810</v>
      </c>
      <c r="DA16" s="35">
        <f>1000+3800</f>
        <v>4800</v>
      </c>
      <c r="DB16" s="38">
        <f>4800-2000</f>
        <v>2800</v>
      </c>
      <c r="DC16" s="35">
        <v>1000</v>
      </c>
      <c r="DD16" s="35"/>
      <c r="DE16" s="35"/>
      <c r="DF16" s="35"/>
      <c r="DG16" s="35"/>
      <c r="DH16" s="35"/>
      <c r="DI16" s="35"/>
      <c r="DJ16" s="35"/>
      <c r="DK16" s="35"/>
      <c r="DL16" s="35"/>
      <c r="DM16" s="35">
        <f t="shared" si="19"/>
        <v>4800</v>
      </c>
      <c r="DN16" s="35">
        <f t="shared" si="19"/>
        <v>2800</v>
      </c>
      <c r="DO16" s="35">
        <f t="shared" si="19"/>
        <v>1000</v>
      </c>
      <c r="DP16" s="35"/>
      <c r="DQ16" s="35"/>
      <c r="DR16" s="35"/>
      <c r="DS16" s="35"/>
      <c r="DT16" s="35"/>
      <c r="DU16" s="35"/>
      <c r="DV16" s="37">
        <f t="shared" si="20"/>
        <v>0</v>
      </c>
      <c r="DW16" s="37">
        <f t="shared" si="20"/>
        <v>0</v>
      </c>
      <c r="DX16" s="37">
        <f t="shared" si="20"/>
        <v>0</v>
      </c>
      <c r="DY16" s="37">
        <f t="shared" si="21"/>
        <v>1017019</v>
      </c>
      <c r="DZ16" s="37">
        <f t="shared" si="21"/>
        <v>1545036</v>
      </c>
      <c r="EA16" s="37">
        <f t="shared" si="21"/>
        <v>808372</v>
      </c>
      <c r="EB16" s="40" t="s">
        <v>76</v>
      </c>
      <c r="EC16" s="23"/>
    </row>
    <row r="17" spans="1:133">
      <c r="A17" s="33" t="s">
        <v>77</v>
      </c>
      <c r="B17" s="34" t="s">
        <v>78</v>
      </c>
      <c r="C17" s="35"/>
      <c r="D17" s="36"/>
      <c r="E17" s="35"/>
      <c r="F17" s="35">
        <v>475</v>
      </c>
      <c r="G17" s="81">
        <f>475+199259+589975-80928+575</f>
        <v>709356</v>
      </c>
      <c r="H17" s="35"/>
      <c r="I17" s="35">
        <f t="shared" si="14"/>
        <v>475</v>
      </c>
      <c r="J17" s="35">
        <f t="shared" si="14"/>
        <v>709356</v>
      </c>
      <c r="K17" s="35">
        <f t="shared" si="14"/>
        <v>0</v>
      </c>
      <c r="L17" s="35"/>
      <c r="M17" s="36"/>
      <c r="N17" s="35"/>
      <c r="O17" s="35">
        <f>950+1000</f>
        <v>1950</v>
      </c>
      <c r="P17" s="36">
        <v>1950</v>
      </c>
      <c r="Q17" s="35">
        <f>1000+1000</f>
        <v>2000</v>
      </c>
      <c r="R17" s="36">
        <v>15098</v>
      </c>
      <c r="S17" s="36">
        <v>15098</v>
      </c>
      <c r="T17" s="35">
        <f>18193+2000</f>
        <v>20193</v>
      </c>
      <c r="U17" s="35"/>
      <c r="V17" s="35"/>
      <c r="W17" s="35"/>
      <c r="X17" s="37">
        <f t="shared" si="15"/>
        <v>17048</v>
      </c>
      <c r="Y17" s="37">
        <f t="shared" si="15"/>
        <v>17048</v>
      </c>
      <c r="Z17" s="37">
        <f t="shared" si="15"/>
        <v>22193</v>
      </c>
      <c r="AA17" s="35">
        <f>99342+3094</f>
        <v>102436</v>
      </c>
      <c r="AB17" s="81">
        <f>102436-10100</f>
        <v>92336</v>
      </c>
      <c r="AC17" s="35">
        <f>96038+4321</f>
        <v>100359</v>
      </c>
      <c r="AD17" s="35">
        <f>6600+832</f>
        <v>7432</v>
      </c>
      <c r="AE17" s="81">
        <f>7432+668+120+1200</f>
        <v>9420</v>
      </c>
      <c r="AF17" s="81">
        <f>500+7100+2765</f>
        <v>10365</v>
      </c>
      <c r="AG17" s="81">
        <f>114600+11296</f>
        <v>125896</v>
      </c>
      <c r="AH17" s="81">
        <f>125896+15000+2593+15000</f>
        <v>158489</v>
      </c>
      <c r="AI17" s="35">
        <f>112262+14230</f>
        <v>126492</v>
      </c>
      <c r="AJ17" s="35">
        <f>5700+380</f>
        <v>6080</v>
      </c>
      <c r="AK17" s="81">
        <f>6080+1000+3000</f>
        <v>10080</v>
      </c>
      <c r="AL17" s="81">
        <f>9000+848</f>
        <v>9848</v>
      </c>
      <c r="AM17" s="81">
        <v>2500</v>
      </c>
      <c r="AN17" s="81">
        <f>2500+13</f>
        <v>2513</v>
      </c>
      <c r="AO17" s="81">
        <v>2500</v>
      </c>
      <c r="AP17" s="81">
        <f>2400+2545</f>
        <v>4945</v>
      </c>
      <c r="AQ17" s="81">
        <f>4945+500+400+1800</f>
        <v>7645</v>
      </c>
      <c r="AR17" s="81">
        <f>12500+2847</f>
        <v>15347</v>
      </c>
      <c r="AS17" s="81"/>
      <c r="AT17" s="81">
        <f>620+337</f>
        <v>957</v>
      </c>
      <c r="AU17" s="35">
        <v>0</v>
      </c>
      <c r="AV17" s="37">
        <f t="shared" si="16"/>
        <v>249289</v>
      </c>
      <c r="AW17" s="37">
        <f t="shared" si="16"/>
        <v>281440</v>
      </c>
      <c r="AX17" s="37">
        <f t="shared" si="16"/>
        <v>264911</v>
      </c>
      <c r="AY17" s="36">
        <v>14000</v>
      </c>
      <c r="AZ17" s="36">
        <v>14000</v>
      </c>
      <c r="BA17" s="35">
        <f>12000+4000</f>
        <v>16000</v>
      </c>
      <c r="BB17" s="36">
        <v>16000</v>
      </c>
      <c r="BC17" s="36">
        <v>16000</v>
      </c>
      <c r="BD17" s="35">
        <f>12000+4000</f>
        <v>16000</v>
      </c>
      <c r="BE17" s="36">
        <v>1500</v>
      </c>
      <c r="BF17" s="36">
        <v>1500</v>
      </c>
      <c r="BG17" s="35">
        <v>500</v>
      </c>
      <c r="BH17" s="37">
        <f t="shared" si="17"/>
        <v>31500</v>
      </c>
      <c r="BI17" s="37">
        <f t="shared" si="17"/>
        <v>31500</v>
      </c>
      <c r="BJ17" s="37">
        <f t="shared" si="17"/>
        <v>32500</v>
      </c>
      <c r="BK17" s="35">
        <v>5000</v>
      </c>
      <c r="BL17" s="36">
        <v>5000</v>
      </c>
      <c r="BM17" s="81">
        <v>5000</v>
      </c>
      <c r="BN17" s="81"/>
      <c r="BO17" s="81">
        <f>1921+86+293</f>
        <v>2300</v>
      </c>
      <c r="BP17" s="81"/>
      <c r="BQ17" s="35">
        <v>3500</v>
      </c>
      <c r="BR17" s="36">
        <v>3500</v>
      </c>
      <c r="BS17" s="35">
        <v>3500</v>
      </c>
      <c r="BT17" s="35">
        <v>2000</v>
      </c>
      <c r="BU17" s="36">
        <v>2000</v>
      </c>
      <c r="BV17" s="35">
        <v>2000</v>
      </c>
      <c r="BW17" s="35">
        <v>8000</v>
      </c>
      <c r="BX17" s="36">
        <v>8000</v>
      </c>
      <c r="BY17" s="35">
        <v>9000</v>
      </c>
      <c r="BZ17" s="35"/>
      <c r="CA17" s="36">
        <v>3000</v>
      </c>
      <c r="CB17" s="35">
        <v>5000</v>
      </c>
      <c r="CC17" s="35"/>
      <c r="CD17" s="35"/>
      <c r="CE17" s="35"/>
      <c r="CF17" s="35">
        <v>5000</v>
      </c>
      <c r="CG17" s="36">
        <v>5000</v>
      </c>
      <c r="CH17" s="35">
        <v>6000</v>
      </c>
      <c r="CI17" s="35">
        <v>7000</v>
      </c>
      <c r="CJ17" s="36">
        <v>7000</v>
      </c>
      <c r="CK17" s="35">
        <v>9000</v>
      </c>
      <c r="CL17" s="35"/>
      <c r="CM17" s="36">
        <v>3000</v>
      </c>
      <c r="CN17" s="35">
        <v>5000</v>
      </c>
      <c r="CO17" s="35">
        <v>9000</v>
      </c>
      <c r="CP17" s="36">
        <v>9000</v>
      </c>
      <c r="CQ17" s="35">
        <v>13000</v>
      </c>
      <c r="CR17" s="35"/>
      <c r="CS17" s="38">
        <f>5109+748+527+473+64</f>
        <v>6921</v>
      </c>
      <c r="CT17" s="35"/>
      <c r="CU17" s="35"/>
      <c r="CV17" s="35"/>
      <c r="CW17" s="35"/>
      <c r="CX17" s="37">
        <f t="shared" si="18"/>
        <v>39500</v>
      </c>
      <c r="CY17" s="37">
        <f t="shared" si="18"/>
        <v>54721</v>
      </c>
      <c r="CZ17" s="37">
        <f t="shared" si="18"/>
        <v>57500</v>
      </c>
      <c r="DA17" s="35">
        <f>1000+500</f>
        <v>1500</v>
      </c>
      <c r="DB17" s="36">
        <v>1500</v>
      </c>
      <c r="DC17" s="35">
        <f>500+2000</f>
        <v>2500</v>
      </c>
      <c r="DD17" s="35"/>
      <c r="DE17" s="35"/>
      <c r="DF17" s="35"/>
      <c r="DG17" s="35"/>
      <c r="DH17" s="35"/>
      <c r="DI17" s="35"/>
      <c r="DJ17" s="35"/>
      <c r="DK17" s="35"/>
      <c r="DL17" s="35"/>
      <c r="DM17" s="35">
        <f t="shared" si="19"/>
        <v>1500</v>
      </c>
      <c r="DN17" s="35">
        <f t="shared" si="19"/>
        <v>1500</v>
      </c>
      <c r="DO17" s="35">
        <f t="shared" si="19"/>
        <v>2500</v>
      </c>
      <c r="DP17" s="35"/>
      <c r="DQ17" s="35"/>
      <c r="DR17" s="35"/>
      <c r="DS17" s="35"/>
      <c r="DT17" s="35"/>
      <c r="DU17" s="35"/>
      <c r="DV17" s="37">
        <f t="shared" si="20"/>
        <v>0</v>
      </c>
      <c r="DW17" s="37">
        <f t="shared" si="20"/>
        <v>0</v>
      </c>
      <c r="DX17" s="37">
        <f t="shared" si="20"/>
        <v>0</v>
      </c>
      <c r="DY17" s="37">
        <f t="shared" si="21"/>
        <v>339312</v>
      </c>
      <c r="DZ17" s="37">
        <f t="shared" si="21"/>
        <v>1095565</v>
      </c>
      <c r="EA17" s="37">
        <f t="shared" si="21"/>
        <v>379604</v>
      </c>
      <c r="EB17" s="34" t="s">
        <v>78</v>
      </c>
      <c r="EC17" s="23"/>
    </row>
    <row r="18" spans="1:133" s="32" customFormat="1">
      <c r="A18" s="39" t="s">
        <v>79</v>
      </c>
      <c r="B18" s="25" t="s">
        <v>80</v>
      </c>
      <c r="C18" s="41">
        <f>SUM(C19:C22)</f>
        <v>885909</v>
      </c>
      <c r="D18" s="42">
        <f>SUM(D19:D22)</f>
        <v>885909</v>
      </c>
      <c r="E18" s="43">
        <f t="shared" ref="E18:T18" si="22">SUM(E19:E22)</f>
        <v>1042099</v>
      </c>
      <c r="F18" s="43">
        <f t="shared" si="22"/>
        <v>0</v>
      </c>
      <c r="G18" s="83">
        <f t="shared" si="22"/>
        <v>243654</v>
      </c>
      <c r="H18" s="43">
        <f t="shared" si="22"/>
        <v>0</v>
      </c>
      <c r="I18" s="43">
        <f t="shared" si="22"/>
        <v>885909</v>
      </c>
      <c r="J18" s="43">
        <f t="shared" si="22"/>
        <v>1129563</v>
      </c>
      <c r="K18" s="43">
        <f t="shared" si="22"/>
        <v>1042099</v>
      </c>
      <c r="L18" s="41">
        <f>SUM(L19:L22)</f>
        <v>6503</v>
      </c>
      <c r="M18" s="42">
        <f>SUM(M19:M22)</f>
        <v>6503</v>
      </c>
      <c r="N18" s="43">
        <f t="shared" si="22"/>
        <v>6610</v>
      </c>
      <c r="O18" s="41">
        <f>SUM(O19:O22)</f>
        <v>23051</v>
      </c>
      <c r="P18" s="42">
        <f>SUM(P19:P22)</f>
        <v>23051</v>
      </c>
      <c r="Q18" s="43">
        <f t="shared" si="22"/>
        <v>25986</v>
      </c>
      <c r="R18" s="42">
        <f>SUM(R19:R22)</f>
        <v>2902</v>
      </c>
      <c r="S18" s="42">
        <f>SUM(S19:S22)</f>
        <v>2902</v>
      </c>
      <c r="T18" s="43">
        <f t="shared" si="22"/>
        <v>3890</v>
      </c>
      <c r="U18" s="43">
        <f>SUM(U19:U22)</f>
        <v>0</v>
      </c>
      <c r="V18" s="43">
        <f>SUM(V19:V22)</f>
        <v>0</v>
      </c>
      <c r="W18" s="43">
        <f>SUM(W19:W22)</f>
        <v>0</v>
      </c>
      <c r="X18" s="43">
        <f t="shared" ref="X18:BS18" si="23">SUM(X19:X22)</f>
        <v>32456</v>
      </c>
      <c r="Y18" s="43">
        <f t="shared" si="23"/>
        <v>32456</v>
      </c>
      <c r="Z18" s="43">
        <f t="shared" si="23"/>
        <v>36486</v>
      </c>
      <c r="AA18" s="41">
        <f t="shared" si="23"/>
        <v>1488402</v>
      </c>
      <c r="AB18" s="83">
        <f t="shared" si="23"/>
        <v>1508795</v>
      </c>
      <c r="AC18" s="43">
        <f t="shared" si="23"/>
        <v>1686487</v>
      </c>
      <c r="AD18" s="41">
        <f t="shared" si="23"/>
        <v>89334</v>
      </c>
      <c r="AE18" s="83">
        <f t="shared" si="23"/>
        <v>100695</v>
      </c>
      <c r="AF18" s="86">
        <f t="shared" si="23"/>
        <v>118881</v>
      </c>
      <c r="AG18" s="83">
        <f>SUM(AG19:AG22)</f>
        <v>3354226</v>
      </c>
      <c r="AH18" s="83">
        <f>SUM(AH19:AH22)</f>
        <v>3637244</v>
      </c>
      <c r="AI18" s="43">
        <f t="shared" si="23"/>
        <v>3902202</v>
      </c>
      <c r="AJ18" s="41">
        <f>SUM(AJ19:AJ22)</f>
        <v>153509</v>
      </c>
      <c r="AK18" s="83">
        <f>SUM(AK19:AK22)</f>
        <v>156966</v>
      </c>
      <c r="AL18" s="86">
        <f t="shared" si="23"/>
        <v>207726</v>
      </c>
      <c r="AM18" s="83">
        <f>SUM(AM19:AM22)</f>
        <v>50200</v>
      </c>
      <c r="AN18" s="83">
        <f>SUM(AN19:AN22)</f>
        <v>49056</v>
      </c>
      <c r="AO18" s="43">
        <f t="shared" si="23"/>
        <v>53100</v>
      </c>
      <c r="AP18" s="41">
        <f>SUM(AP19:AP22)</f>
        <v>74647</v>
      </c>
      <c r="AQ18" s="83">
        <f>SUM(AQ19:AQ22)</f>
        <v>88703</v>
      </c>
      <c r="AR18" s="86">
        <f>SUM(AR19:AR22)</f>
        <v>122403</v>
      </c>
      <c r="AS18" s="83">
        <f t="shared" si="23"/>
        <v>1200</v>
      </c>
      <c r="AT18" s="83">
        <f>SUM(AT19:AT22)</f>
        <v>9927</v>
      </c>
      <c r="AU18" s="43">
        <f t="shared" si="23"/>
        <v>3000</v>
      </c>
      <c r="AV18" s="43">
        <f t="shared" si="23"/>
        <v>5211518</v>
      </c>
      <c r="AW18" s="43">
        <f t="shared" si="23"/>
        <v>5551386</v>
      </c>
      <c r="AX18" s="43">
        <f t="shared" si="23"/>
        <v>6093799</v>
      </c>
      <c r="AY18" s="42">
        <f>SUM(AY19:AY22)</f>
        <v>145000</v>
      </c>
      <c r="AZ18" s="42">
        <f>SUM(AZ19:AZ22)</f>
        <v>145000</v>
      </c>
      <c r="BA18" s="43">
        <f t="shared" si="23"/>
        <v>163560</v>
      </c>
      <c r="BB18" s="42">
        <f>SUM(BB19:BB22)</f>
        <v>136380</v>
      </c>
      <c r="BC18" s="42">
        <f>SUM(BC19:BC22)</f>
        <v>136380</v>
      </c>
      <c r="BD18" s="43">
        <f t="shared" si="23"/>
        <v>151459</v>
      </c>
      <c r="BE18" s="42">
        <f>SUM(BE19:BE22)</f>
        <v>2770</v>
      </c>
      <c r="BF18" s="42">
        <f>SUM(BF19:BF22)</f>
        <v>2770</v>
      </c>
      <c r="BG18" s="43">
        <f t="shared" si="23"/>
        <v>2810</v>
      </c>
      <c r="BH18" s="43">
        <f t="shared" si="23"/>
        <v>284150</v>
      </c>
      <c r="BI18" s="43">
        <f t="shared" si="23"/>
        <v>284150</v>
      </c>
      <c r="BJ18" s="43">
        <f t="shared" si="23"/>
        <v>317829</v>
      </c>
      <c r="BK18" s="41">
        <f>SUM(BK19:BK22)</f>
        <v>89780</v>
      </c>
      <c r="BL18" s="42">
        <f>SUM(BL19:BL22)</f>
        <v>89780</v>
      </c>
      <c r="BM18" s="86">
        <f>SUM(BM19:BM22)</f>
        <v>106617</v>
      </c>
      <c r="BN18" s="83">
        <f t="shared" si="23"/>
        <v>1969</v>
      </c>
      <c r="BO18" s="83">
        <f t="shared" si="23"/>
        <v>25740</v>
      </c>
      <c r="BP18" s="86">
        <f t="shared" si="23"/>
        <v>638</v>
      </c>
      <c r="BQ18" s="41">
        <f>SUM(BQ19:BQ22)</f>
        <v>69620</v>
      </c>
      <c r="BR18" s="42">
        <f>SUM(BR19:BR22)</f>
        <v>69620</v>
      </c>
      <c r="BS18" s="43">
        <f t="shared" si="23"/>
        <v>85727</v>
      </c>
      <c r="BT18" s="41">
        <f>SUM(BT19:BT22)</f>
        <v>46730</v>
      </c>
      <c r="BU18" s="42">
        <f>SUM(BU19:BU22)</f>
        <v>46730</v>
      </c>
      <c r="BV18" s="43">
        <f t="shared" ref="BV18:DX18" si="24">SUM(BV19:BV22)</f>
        <v>58800</v>
      </c>
      <c r="BW18" s="41">
        <f t="shared" si="24"/>
        <v>63600</v>
      </c>
      <c r="BX18" s="45">
        <f t="shared" si="24"/>
        <v>63600</v>
      </c>
      <c r="BY18" s="43">
        <f t="shared" si="24"/>
        <v>82100</v>
      </c>
      <c r="BZ18" s="41">
        <f t="shared" si="24"/>
        <v>0</v>
      </c>
      <c r="CA18" s="42">
        <f t="shared" si="24"/>
        <v>20200</v>
      </c>
      <c r="CB18" s="43">
        <f t="shared" si="24"/>
        <v>44700</v>
      </c>
      <c r="CC18" s="41">
        <f t="shared" si="24"/>
        <v>51</v>
      </c>
      <c r="CD18" s="43">
        <f t="shared" si="24"/>
        <v>51</v>
      </c>
      <c r="CE18" s="43">
        <f t="shared" si="24"/>
        <v>50</v>
      </c>
      <c r="CF18" s="41">
        <f t="shared" si="24"/>
        <v>29900</v>
      </c>
      <c r="CG18" s="42">
        <f t="shared" si="24"/>
        <v>29900</v>
      </c>
      <c r="CH18" s="43">
        <f t="shared" si="24"/>
        <v>34600</v>
      </c>
      <c r="CI18" s="41">
        <f t="shared" si="24"/>
        <v>51500</v>
      </c>
      <c r="CJ18" s="42">
        <f t="shared" si="24"/>
        <v>51500</v>
      </c>
      <c r="CK18" s="43">
        <f t="shared" si="24"/>
        <v>62400</v>
      </c>
      <c r="CL18" s="41">
        <f t="shared" si="24"/>
        <v>0</v>
      </c>
      <c r="CM18" s="42">
        <f t="shared" si="24"/>
        <v>24200</v>
      </c>
      <c r="CN18" s="43">
        <f t="shared" si="24"/>
        <v>52600</v>
      </c>
      <c r="CO18" s="41">
        <f t="shared" si="24"/>
        <v>183105</v>
      </c>
      <c r="CP18" s="42">
        <f t="shared" si="24"/>
        <v>183105</v>
      </c>
      <c r="CQ18" s="43">
        <f t="shared" si="24"/>
        <v>222051</v>
      </c>
      <c r="CR18" s="43">
        <f>SUM(CR19:CR22)</f>
        <v>380</v>
      </c>
      <c r="CS18" s="44">
        <f>SUM(CS19:CS22)</f>
        <v>972753</v>
      </c>
      <c r="CT18" s="43">
        <f t="shared" si="24"/>
        <v>1080</v>
      </c>
      <c r="CU18" s="43">
        <f t="shared" si="24"/>
        <v>0</v>
      </c>
      <c r="CV18" s="43">
        <f t="shared" si="24"/>
        <v>0</v>
      </c>
      <c r="CW18" s="43">
        <f t="shared" si="24"/>
        <v>0</v>
      </c>
      <c r="CX18" s="43">
        <f t="shared" si="24"/>
        <v>536635</v>
      </c>
      <c r="CY18" s="43">
        <f t="shared" si="24"/>
        <v>1577179</v>
      </c>
      <c r="CZ18" s="43">
        <f t="shared" si="24"/>
        <v>751363</v>
      </c>
      <c r="DA18" s="41">
        <f>SUM(DA19:DA22)</f>
        <v>49670</v>
      </c>
      <c r="DB18" s="42">
        <f>SUM(DB19:DB22)</f>
        <v>53490</v>
      </c>
      <c r="DC18" s="43">
        <f>SUM(DC19:DC22)</f>
        <v>58800</v>
      </c>
      <c r="DD18" s="43">
        <f t="shared" si="24"/>
        <v>0</v>
      </c>
      <c r="DE18" s="43">
        <f t="shared" si="24"/>
        <v>0</v>
      </c>
      <c r="DF18" s="43">
        <f t="shared" si="24"/>
        <v>0</v>
      </c>
      <c r="DG18" s="43">
        <f t="shared" si="24"/>
        <v>0</v>
      </c>
      <c r="DH18" s="43">
        <f t="shared" si="24"/>
        <v>0</v>
      </c>
      <c r="DI18" s="43">
        <f t="shared" si="24"/>
        <v>0</v>
      </c>
      <c r="DJ18" s="43">
        <f>SUM(DJ19:DJ22)</f>
        <v>0</v>
      </c>
      <c r="DK18" s="43">
        <f>SUM(DK19:DK22)</f>
        <v>0</v>
      </c>
      <c r="DL18" s="43">
        <f>SUM(DL19:DL22)</f>
        <v>0</v>
      </c>
      <c r="DM18" s="43">
        <f t="shared" si="24"/>
        <v>49670</v>
      </c>
      <c r="DN18" s="43">
        <f t="shared" si="24"/>
        <v>53490</v>
      </c>
      <c r="DO18" s="43">
        <f t="shared" si="24"/>
        <v>58800</v>
      </c>
      <c r="DP18" s="43">
        <f t="shared" si="24"/>
        <v>0</v>
      </c>
      <c r="DQ18" s="43">
        <f t="shared" si="24"/>
        <v>0</v>
      </c>
      <c r="DR18" s="43">
        <f t="shared" si="24"/>
        <v>0</v>
      </c>
      <c r="DS18" s="43">
        <f t="shared" si="24"/>
        <v>0</v>
      </c>
      <c r="DT18" s="43">
        <f t="shared" si="24"/>
        <v>0</v>
      </c>
      <c r="DU18" s="43">
        <f t="shared" si="24"/>
        <v>0</v>
      </c>
      <c r="DV18" s="43">
        <f t="shared" si="24"/>
        <v>0</v>
      </c>
      <c r="DW18" s="43">
        <f t="shared" si="24"/>
        <v>0</v>
      </c>
      <c r="DX18" s="43">
        <f t="shared" si="24"/>
        <v>0</v>
      </c>
      <c r="DY18" s="43">
        <f>SUM(DY19:DY22)</f>
        <v>7000338</v>
      </c>
      <c r="DZ18" s="43">
        <f>SUM(DZ19:DZ22)</f>
        <v>8628224</v>
      </c>
      <c r="EA18" s="43">
        <f>SUM(EA19:EA22)</f>
        <v>8300376</v>
      </c>
      <c r="EB18" s="25" t="s">
        <v>80</v>
      </c>
      <c r="EC18" s="23"/>
    </row>
    <row r="19" spans="1:133" ht="15">
      <c r="A19" s="33" t="s">
        <v>81</v>
      </c>
      <c r="B19" s="34" t="s">
        <v>82</v>
      </c>
      <c r="C19" s="46">
        <f>481240+36500</f>
        <v>517740</v>
      </c>
      <c r="D19" s="47">
        <v>517740</v>
      </c>
      <c r="E19" s="46">
        <v>672374</v>
      </c>
      <c r="F19" s="46"/>
      <c r="G19" s="84">
        <f>43990+105000+3877</f>
        <v>152867</v>
      </c>
      <c r="H19" s="46"/>
      <c r="I19" s="35">
        <f t="shared" ref="I19:K22" si="25">SUM(C19,F19,)</f>
        <v>517740</v>
      </c>
      <c r="J19" s="35">
        <f t="shared" si="25"/>
        <v>670607</v>
      </c>
      <c r="K19" s="35">
        <f t="shared" si="25"/>
        <v>672374</v>
      </c>
      <c r="L19" s="46">
        <v>3492</v>
      </c>
      <c r="M19" s="47">
        <v>3492</v>
      </c>
      <c r="N19" s="46">
        <v>3500</v>
      </c>
      <c r="O19" s="46">
        <f>5536+0+9924</f>
        <v>15460</v>
      </c>
      <c r="P19" s="47">
        <v>15410</v>
      </c>
      <c r="Q19" s="46">
        <f>1000+1005+4800+10000</f>
        <v>16805</v>
      </c>
      <c r="R19" s="47">
        <v>1877</v>
      </c>
      <c r="S19" s="47">
        <v>1877</v>
      </c>
      <c r="T19" s="46">
        <f>2374+31</f>
        <v>2405</v>
      </c>
      <c r="U19" s="46"/>
      <c r="V19" s="46"/>
      <c r="W19" s="46"/>
      <c r="X19" s="37">
        <f t="shared" ref="X19:Z22" si="26">SUM(L19,O19,R19,U19)</f>
        <v>20829</v>
      </c>
      <c r="Y19" s="37">
        <f t="shared" si="26"/>
        <v>20779</v>
      </c>
      <c r="Z19" s="37">
        <f t="shared" si="26"/>
        <v>22710</v>
      </c>
      <c r="AA19" s="46">
        <f>744145+5000</f>
        <v>749145</v>
      </c>
      <c r="AB19" s="84">
        <f>749145+1161+9100</f>
        <v>759406</v>
      </c>
      <c r="AC19" s="46">
        <f>818000+18292</f>
        <v>836292</v>
      </c>
      <c r="AD19" s="46">
        <f>39433+3526</f>
        <v>42959</v>
      </c>
      <c r="AE19" s="84">
        <f>42959+5716+170+180</f>
        <v>49025</v>
      </c>
      <c r="AF19" s="81">
        <f>3804+6+60+45554+6366</f>
        <v>55790</v>
      </c>
      <c r="AG19" s="84">
        <f>1632467+26557</f>
        <v>1659024</v>
      </c>
      <c r="AH19" s="84">
        <f>1659024+48733+25577+7604+3850+30556+1325+397+856+41953</f>
        <v>1819875</v>
      </c>
      <c r="AI19" s="46">
        <f>1900459+32241</f>
        <v>1932700</v>
      </c>
      <c r="AJ19" s="46">
        <f>78204+178</f>
        <v>78382</v>
      </c>
      <c r="AK19" s="84">
        <f>78382+2000+3600+76-3900</f>
        <v>80158</v>
      </c>
      <c r="AL19" s="84">
        <f>91200+8344</f>
        <v>99544</v>
      </c>
      <c r="AM19" s="84">
        <v>25700</v>
      </c>
      <c r="AN19" s="84">
        <f>25700+165-427</f>
        <v>25438</v>
      </c>
      <c r="AO19" s="46">
        <v>27100</v>
      </c>
      <c r="AP19" s="46">
        <f>33626+2684</f>
        <v>36310</v>
      </c>
      <c r="AQ19" s="84">
        <f>36310+2100+3411+200</f>
        <v>42021</v>
      </c>
      <c r="AR19" s="84">
        <f>48857+9499</f>
        <v>58356</v>
      </c>
      <c r="AS19" s="84">
        <v>600</v>
      </c>
      <c r="AT19" s="84">
        <f>600+1800+2848+522+550</f>
        <v>6320</v>
      </c>
      <c r="AU19" s="35">
        <v>1700</v>
      </c>
      <c r="AV19" s="37">
        <f t="shared" ref="AV19:AX22" si="27">SUM(AA19,AD19,AG19,AJ19,AM19,AP19,AS19)</f>
        <v>2592120</v>
      </c>
      <c r="AW19" s="37">
        <f t="shared" si="27"/>
        <v>2782243</v>
      </c>
      <c r="AX19" s="37">
        <f t="shared" si="27"/>
        <v>3011482</v>
      </c>
      <c r="AY19" s="47">
        <v>93750</v>
      </c>
      <c r="AZ19" s="47">
        <f>93750-4000</f>
        <v>89750</v>
      </c>
      <c r="BA19" s="46">
        <f>96760+577+5364+9</f>
        <v>102710</v>
      </c>
      <c r="BB19" s="47">
        <v>88300</v>
      </c>
      <c r="BC19" s="48">
        <f>88300-2500</f>
        <v>85800</v>
      </c>
      <c r="BD19" s="46">
        <f>62048+31329+1600</f>
        <v>94977</v>
      </c>
      <c r="BE19" s="47">
        <v>1700</v>
      </c>
      <c r="BF19" s="47">
        <v>1700</v>
      </c>
      <c r="BG19" s="46">
        <v>1608</v>
      </c>
      <c r="BH19" s="37">
        <f t="shared" ref="BH19:BJ22" si="28">SUM(AY19,BB19,BE19)</f>
        <v>183750</v>
      </c>
      <c r="BI19" s="37">
        <f t="shared" si="28"/>
        <v>177250</v>
      </c>
      <c r="BJ19" s="37">
        <f t="shared" si="28"/>
        <v>199295</v>
      </c>
      <c r="BK19" s="46">
        <v>59924</v>
      </c>
      <c r="BL19" s="47">
        <f>59924-2000</f>
        <v>57924</v>
      </c>
      <c r="BM19" s="84">
        <v>72321</v>
      </c>
      <c r="BN19" s="87">
        <v>1228</v>
      </c>
      <c r="BO19" s="87">
        <f>1228+9527+810+669+3510</f>
        <v>15744</v>
      </c>
      <c r="BP19" s="87">
        <v>386</v>
      </c>
      <c r="BQ19" s="46">
        <v>44000</v>
      </c>
      <c r="BR19" s="47">
        <v>44000</v>
      </c>
      <c r="BS19" s="46">
        <v>52881</v>
      </c>
      <c r="BT19" s="46">
        <v>27900</v>
      </c>
      <c r="BU19" s="47">
        <v>27900</v>
      </c>
      <c r="BV19" s="46">
        <v>35100</v>
      </c>
      <c r="BW19" s="46">
        <v>37000</v>
      </c>
      <c r="BX19" s="47">
        <v>37000</v>
      </c>
      <c r="BY19" s="46">
        <v>48000</v>
      </c>
      <c r="BZ19" s="46"/>
      <c r="CA19" s="47">
        <v>12100</v>
      </c>
      <c r="CB19" s="46">
        <v>26700</v>
      </c>
      <c r="CC19" s="37">
        <v>28</v>
      </c>
      <c r="CD19" s="37">
        <v>28</v>
      </c>
      <c r="CE19" s="37">
        <v>28</v>
      </c>
      <c r="CF19" s="46">
        <v>17800</v>
      </c>
      <c r="CG19" s="47">
        <v>17800</v>
      </c>
      <c r="CH19" s="46">
        <v>20600</v>
      </c>
      <c r="CI19" s="46">
        <v>29500</v>
      </c>
      <c r="CJ19" s="47">
        <v>29500</v>
      </c>
      <c r="CK19" s="46">
        <v>36000</v>
      </c>
      <c r="CL19" s="46"/>
      <c r="CM19" s="47">
        <v>14500</v>
      </c>
      <c r="CN19" s="46">
        <v>31500</v>
      </c>
      <c r="CO19" s="46">
        <v>109940</v>
      </c>
      <c r="CP19" s="47">
        <v>109940</v>
      </c>
      <c r="CQ19" s="46">
        <v>133335</v>
      </c>
      <c r="CR19" s="46">
        <v>200</v>
      </c>
      <c r="CS19" s="48">
        <f>200+457754+57643+57050-83+59830-3</f>
        <v>632391</v>
      </c>
      <c r="CT19" s="46">
        <v>600</v>
      </c>
      <c r="CU19" s="46"/>
      <c r="CV19" s="46"/>
      <c r="CW19" s="46"/>
      <c r="CX19" s="37">
        <f t="shared" ref="CX19:CZ22" si="29">SUM(BK19,BN19,BQ19,BT19,CC19,BW19,CF19,CI19,CO19,CR19,CU19,CL19,BZ19)</f>
        <v>327520</v>
      </c>
      <c r="CY19" s="37">
        <f t="shared" si="29"/>
        <v>998827</v>
      </c>
      <c r="CZ19" s="37">
        <f t="shared" si="29"/>
        <v>457451</v>
      </c>
      <c r="DA19" s="46">
        <v>31000</v>
      </c>
      <c r="DB19" s="47">
        <f>31000+450</f>
        <v>31450</v>
      </c>
      <c r="DC19" s="46">
        <f>30000+3400</f>
        <v>33400</v>
      </c>
      <c r="DD19" s="46"/>
      <c r="DE19" s="46"/>
      <c r="DF19" s="46"/>
      <c r="DG19" s="46"/>
      <c r="DH19" s="46"/>
      <c r="DI19" s="46"/>
      <c r="DJ19" s="46"/>
      <c r="DK19" s="46"/>
      <c r="DL19" s="46"/>
      <c r="DM19" s="35">
        <f t="shared" ref="DM19:DO22" si="30">SUM(DA19,DD19,DG19)</f>
        <v>31000</v>
      </c>
      <c r="DN19" s="35">
        <f t="shared" si="30"/>
        <v>31450</v>
      </c>
      <c r="DO19" s="35">
        <f t="shared" si="30"/>
        <v>33400</v>
      </c>
      <c r="DP19" s="46"/>
      <c r="DQ19" s="46"/>
      <c r="DR19" s="46"/>
      <c r="DS19" s="46"/>
      <c r="DT19" s="46"/>
      <c r="DU19" s="46"/>
      <c r="DV19" s="37">
        <f t="shared" ref="DV19:DX22" si="31">SUM(DP19,DS19)</f>
        <v>0</v>
      </c>
      <c r="DW19" s="37">
        <f t="shared" si="31"/>
        <v>0</v>
      </c>
      <c r="DX19" s="37">
        <f t="shared" si="31"/>
        <v>0</v>
      </c>
      <c r="DY19" s="37">
        <f t="shared" ref="DY19:EA22" si="32">SUM(I19,X19,AV19,BH19,CX19,DM19,DV19)</f>
        <v>3672959</v>
      </c>
      <c r="DZ19" s="37">
        <f t="shared" si="32"/>
        <v>4681156</v>
      </c>
      <c r="EA19" s="37">
        <f t="shared" si="32"/>
        <v>4396712</v>
      </c>
      <c r="EB19" s="34" t="s">
        <v>82</v>
      </c>
      <c r="EC19" s="23"/>
    </row>
    <row r="20" spans="1:133">
      <c r="A20" s="33" t="s">
        <v>83</v>
      </c>
      <c r="B20" s="34" t="s">
        <v>84</v>
      </c>
      <c r="C20" s="35"/>
      <c r="D20" s="36"/>
      <c r="E20" s="35"/>
      <c r="F20" s="35"/>
      <c r="G20" s="81"/>
      <c r="H20" s="35"/>
      <c r="I20" s="35">
        <f t="shared" si="25"/>
        <v>0</v>
      </c>
      <c r="J20" s="35">
        <f t="shared" si="25"/>
        <v>0</v>
      </c>
      <c r="K20" s="35">
        <f t="shared" si="25"/>
        <v>0</v>
      </c>
      <c r="L20" s="35"/>
      <c r="M20" s="36"/>
      <c r="N20" s="35"/>
      <c r="O20" s="35"/>
      <c r="P20" s="36"/>
      <c r="Q20" s="35"/>
      <c r="R20" s="36"/>
      <c r="S20" s="36"/>
      <c r="T20" s="35"/>
      <c r="U20" s="35"/>
      <c r="V20" s="35"/>
      <c r="W20" s="35"/>
      <c r="X20" s="37">
        <f t="shared" si="26"/>
        <v>0</v>
      </c>
      <c r="Y20" s="37">
        <f t="shared" si="26"/>
        <v>0</v>
      </c>
      <c r="Z20" s="37">
        <f t="shared" si="26"/>
        <v>0</v>
      </c>
      <c r="AA20" s="35">
        <f>192113+3000</f>
        <v>195113</v>
      </c>
      <c r="AB20" s="81">
        <f>195113+2000+418+7900+500</f>
        <v>205931</v>
      </c>
      <c r="AC20" s="35">
        <f>230720+4608</f>
        <v>235328</v>
      </c>
      <c r="AD20" s="35">
        <f>15086+1316</f>
        <v>16402</v>
      </c>
      <c r="AE20" s="81">
        <f>16402+1838+70-180</f>
        <v>18130</v>
      </c>
      <c r="AF20" s="81">
        <f>1128+2+18425+2732</f>
        <v>22287</v>
      </c>
      <c r="AG20" s="81">
        <f>569737+16403</f>
        <v>586140</v>
      </c>
      <c r="AH20" s="81">
        <f>586140+12418+7790+980+577+6774+469+103+320-5542</f>
        <v>610029</v>
      </c>
      <c r="AI20" s="35">
        <f>650021+22842</f>
        <v>672863</v>
      </c>
      <c r="AJ20" s="35">
        <f>23686+64</f>
        <v>23750</v>
      </c>
      <c r="AK20" s="81">
        <f>23750+1200+24-1100</f>
        <v>23874</v>
      </c>
      <c r="AL20" s="81">
        <f>30600+2900</f>
        <v>33500</v>
      </c>
      <c r="AM20" s="81">
        <v>8200</v>
      </c>
      <c r="AN20" s="81">
        <f>8200+62-381</f>
        <v>7881</v>
      </c>
      <c r="AO20" s="35">
        <v>8600</v>
      </c>
      <c r="AP20" s="35">
        <f>11464+1221</f>
        <v>12685</v>
      </c>
      <c r="AQ20" s="81">
        <f>12685+3000+1705-400-1000-200</f>
        <v>15790</v>
      </c>
      <c r="AR20" s="81">
        <f>17324+4168</f>
        <v>21492</v>
      </c>
      <c r="AS20" s="81"/>
      <c r="AT20" s="81"/>
      <c r="AU20" s="35">
        <v>0</v>
      </c>
      <c r="AV20" s="37">
        <f t="shared" si="27"/>
        <v>842290</v>
      </c>
      <c r="AW20" s="37">
        <f t="shared" si="27"/>
        <v>881635</v>
      </c>
      <c r="AX20" s="37">
        <f t="shared" si="27"/>
        <v>994070</v>
      </c>
      <c r="AY20" s="36"/>
      <c r="AZ20" s="36"/>
      <c r="BA20" s="35"/>
      <c r="BB20" s="36"/>
      <c r="BC20" s="36"/>
      <c r="BD20" s="35"/>
      <c r="BE20" s="36"/>
      <c r="BF20" s="36"/>
      <c r="BG20" s="35"/>
      <c r="BH20" s="37">
        <f t="shared" si="28"/>
        <v>0</v>
      </c>
      <c r="BI20" s="37">
        <f t="shared" si="28"/>
        <v>0</v>
      </c>
      <c r="BJ20" s="37">
        <f t="shared" si="28"/>
        <v>0</v>
      </c>
      <c r="BK20" s="35"/>
      <c r="BL20" s="36"/>
      <c r="BM20" s="81"/>
      <c r="BN20" s="87"/>
      <c r="BO20" s="87"/>
      <c r="BP20" s="87"/>
      <c r="BQ20" s="35">
        <v>1820</v>
      </c>
      <c r="BR20" s="36">
        <v>1820</v>
      </c>
      <c r="BS20" s="35">
        <v>1238</v>
      </c>
      <c r="BT20" s="35"/>
      <c r="BU20" s="36"/>
      <c r="BV20" s="35"/>
      <c r="BW20" s="35">
        <v>2100</v>
      </c>
      <c r="BX20" s="36">
        <v>2100</v>
      </c>
      <c r="BY20" s="35">
        <v>2300</v>
      </c>
      <c r="BZ20" s="35"/>
      <c r="CA20" s="36"/>
      <c r="CB20" s="35"/>
      <c r="CC20" s="37"/>
      <c r="CD20" s="37"/>
      <c r="CE20" s="37"/>
      <c r="CF20" s="35"/>
      <c r="CG20" s="36"/>
      <c r="CH20" s="35"/>
      <c r="CI20" s="35">
        <v>1900</v>
      </c>
      <c r="CJ20" s="36">
        <v>1900</v>
      </c>
      <c r="CK20" s="35">
        <v>2000</v>
      </c>
      <c r="CL20" s="35"/>
      <c r="CM20" s="36"/>
      <c r="CN20" s="35"/>
      <c r="CO20" s="35"/>
      <c r="CP20" s="36"/>
      <c r="CQ20" s="35"/>
      <c r="CR20" s="35"/>
      <c r="CS20" s="36"/>
      <c r="CT20" s="35"/>
      <c r="CU20" s="35"/>
      <c r="CV20" s="35"/>
      <c r="CW20" s="35"/>
      <c r="CX20" s="37">
        <f t="shared" si="29"/>
        <v>5820</v>
      </c>
      <c r="CY20" s="37">
        <f t="shared" si="29"/>
        <v>5820</v>
      </c>
      <c r="CZ20" s="37">
        <f t="shared" si="29"/>
        <v>5538</v>
      </c>
      <c r="DA20" s="35"/>
      <c r="DB20" s="36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>
        <f t="shared" si="30"/>
        <v>0</v>
      </c>
      <c r="DN20" s="35">
        <f t="shared" si="30"/>
        <v>0</v>
      </c>
      <c r="DO20" s="35">
        <f t="shared" si="30"/>
        <v>0</v>
      </c>
      <c r="DP20" s="35"/>
      <c r="DQ20" s="35"/>
      <c r="DR20" s="35"/>
      <c r="DS20" s="35"/>
      <c r="DT20" s="35"/>
      <c r="DU20" s="35"/>
      <c r="DV20" s="37">
        <f t="shared" si="31"/>
        <v>0</v>
      </c>
      <c r="DW20" s="37">
        <f t="shared" si="31"/>
        <v>0</v>
      </c>
      <c r="DX20" s="37">
        <f t="shared" si="31"/>
        <v>0</v>
      </c>
      <c r="DY20" s="37">
        <f t="shared" si="32"/>
        <v>848110</v>
      </c>
      <c r="DZ20" s="37">
        <f t="shared" si="32"/>
        <v>887455</v>
      </c>
      <c r="EA20" s="37">
        <f t="shared" si="32"/>
        <v>999608</v>
      </c>
      <c r="EB20" s="34" t="s">
        <v>84</v>
      </c>
      <c r="EC20" s="23"/>
    </row>
    <row r="21" spans="1:133" ht="15">
      <c r="A21" s="33" t="s">
        <v>85</v>
      </c>
      <c r="B21" s="34" t="s">
        <v>86</v>
      </c>
      <c r="C21" s="35">
        <f>199091+17699</f>
        <v>216790</v>
      </c>
      <c r="D21" s="36">
        <v>216790</v>
      </c>
      <c r="E21" s="35">
        <v>226135</v>
      </c>
      <c r="F21" s="46"/>
      <c r="G21" s="84">
        <f>17295+53318-10752</f>
        <v>59861</v>
      </c>
      <c r="H21" s="46"/>
      <c r="I21" s="35">
        <f t="shared" si="25"/>
        <v>216790</v>
      </c>
      <c r="J21" s="35">
        <f t="shared" si="25"/>
        <v>276651</v>
      </c>
      <c r="K21" s="35">
        <f t="shared" si="25"/>
        <v>226135</v>
      </c>
      <c r="L21" s="46">
        <v>1901</v>
      </c>
      <c r="M21" s="47">
        <v>1901</v>
      </c>
      <c r="N21" s="46">
        <v>2000</v>
      </c>
      <c r="O21" s="46">
        <f>2100+3791</f>
        <v>5891</v>
      </c>
      <c r="P21" s="47">
        <v>5891</v>
      </c>
      <c r="Q21" s="46">
        <f>1000+1000+1400+3090</f>
        <v>6490</v>
      </c>
      <c r="R21" s="47">
        <v>725</v>
      </c>
      <c r="S21" s="47">
        <v>725</v>
      </c>
      <c r="T21" s="46">
        <f>873+102</f>
        <v>975</v>
      </c>
      <c r="U21" s="46"/>
      <c r="V21" s="46"/>
      <c r="W21" s="46"/>
      <c r="X21" s="37">
        <f t="shared" si="26"/>
        <v>8517</v>
      </c>
      <c r="Y21" s="37">
        <f t="shared" si="26"/>
        <v>8517</v>
      </c>
      <c r="Z21" s="37">
        <f t="shared" si="26"/>
        <v>9465</v>
      </c>
      <c r="AA21" s="46">
        <f>325629+5000</f>
        <v>330629</v>
      </c>
      <c r="AB21" s="84">
        <f>330629+490+11420</f>
        <v>342539</v>
      </c>
      <c r="AC21" s="46">
        <f>373350+9288</f>
        <v>382638</v>
      </c>
      <c r="AD21" s="46">
        <f>17150+1459</f>
        <v>18609</v>
      </c>
      <c r="AE21" s="84">
        <f>18609+2386+100</f>
        <v>21095</v>
      </c>
      <c r="AF21" s="81">
        <f>1620+21048+2869</f>
        <v>25537</v>
      </c>
      <c r="AG21" s="84">
        <f>687770+12293</f>
        <v>700063</v>
      </c>
      <c r="AH21" s="84">
        <f>700063+22932+9842+1094+648+14364+583+187+360+18464</f>
        <v>768537</v>
      </c>
      <c r="AI21" s="46">
        <f>805900+14233</f>
        <v>820133</v>
      </c>
      <c r="AJ21" s="46">
        <f>33484+105</f>
        <v>33589</v>
      </c>
      <c r="AK21" s="84">
        <f>33589+500+2000+38-2000</f>
        <v>34127</v>
      </c>
      <c r="AL21" s="84">
        <f>42200+4611</f>
        <v>46811</v>
      </c>
      <c r="AM21" s="84">
        <v>10800</v>
      </c>
      <c r="AN21" s="84">
        <f>10800+70-451</f>
        <v>10419</v>
      </c>
      <c r="AO21" s="46">
        <v>11300</v>
      </c>
      <c r="AP21" s="46">
        <f>14263+1504</f>
        <v>15767</v>
      </c>
      <c r="AQ21" s="84">
        <f>15767+1400+1341+600</f>
        <v>19108</v>
      </c>
      <c r="AR21" s="84">
        <f>20396+4523</f>
        <v>24919</v>
      </c>
      <c r="AS21" s="84">
        <v>300</v>
      </c>
      <c r="AT21" s="84">
        <f>300+780+1040+203+210</f>
        <v>2533</v>
      </c>
      <c r="AU21" s="35">
        <v>800</v>
      </c>
      <c r="AV21" s="37">
        <f t="shared" si="27"/>
        <v>1109757</v>
      </c>
      <c r="AW21" s="37">
        <f t="shared" si="27"/>
        <v>1198358</v>
      </c>
      <c r="AX21" s="37">
        <f t="shared" si="27"/>
        <v>1312138</v>
      </c>
      <c r="AY21" s="47">
        <v>36250</v>
      </c>
      <c r="AZ21" s="47">
        <v>36250</v>
      </c>
      <c r="BA21" s="46">
        <f>38866+196+1786+2</f>
        <v>40850</v>
      </c>
      <c r="BB21" s="47">
        <v>34080</v>
      </c>
      <c r="BC21" s="47">
        <v>34080</v>
      </c>
      <c r="BD21" s="46">
        <f>36900+192+750</f>
        <v>37842</v>
      </c>
      <c r="BE21" s="47">
        <v>700</v>
      </c>
      <c r="BF21" s="47">
        <v>700</v>
      </c>
      <c r="BG21" s="46">
        <v>702</v>
      </c>
      <c r="BH21" s="37">
        <f t="shared" si="28"/>
        <v>71030</v>
      </c>
      <c r="BI21" s="37">
        <f t="shared" si="28"/>
        <v>71030</v>
      </c>
      <c r="BJ21" s="37">
        <f t="shared" si="28"/>
        <v>79394</v>
      </c>
      <c r="BK21" s="46">
        <v>22612</v>
      </c>
      <c r="BL21" s="47">
        <v>22612</v>
      </c>
      <c r="BM21" s="84">
        <v>25116</v>
      </c>
      <c r="BN21" s="87">
        <v>491</v>
      </c>
      <c r="BO21" s="87">
        <f>491+3962+331+274+1450</f>
        <v>6508</v>
      </c>
      <c r="BP21" s="87">
        <v>159</v>
      </c>
      <c r="BQ21" s="46">
        <v>15000</v>
      </c>
      <c r="BR21" s="84">
        <f>15000+1200</f>
        <v>16200</v>
      </c>
      <c r="BS21" s="46">
        <v>19963</v>
      </c>
      <c r="BT21" s="46">
        <v>12000</v>
      </c>
      <c r="BU21" s="47">
        <v>12000</v>
      </c>
      <c r="BV21" s="46">
        <v>15100</v>
      </c>
      <c r="BW21" s="46">
        <v>15500</v>
      </c>
      <c r="BX21" s="47">
        <v>15500</v>
      </c>
      <c r="BY21" s="46">
        <v>20000</v>
      </c>
      <c r="BZ21" s="46"/>
      <c r="CA21" s="47">
        <v>5100</v>
      </c>
      <c r="CB21" s="46">
        <v>11300</v>
      </c>
      <c r="CC21" s="37">
        <v>15</v>
      </c>
      <c r="CD21" s="37">
        <v>15</v>
      </c>
      <c r="CE21" s="37">
        <v>15</v>
      </c>
      <c r="CF21" s="46">
        <f>5420+2180</f>
        <v>7600</v>
      </c>
      <c r="CG21" s="47">
        <v>7600</v>
      </c>
      <c r="CH21" s="46">
        <v>8800</v>
      </c>
      <c r="CI21" s="46">
        <v>12700</v>
      </c>
      <c r="CJ21" s="47">
        <v>12700</v>
      </c>
      <c r="CK21" s="46">
        <v>15400</v>
      </c>
      <c r="CL21" s="46"/>
      <c r="CM21" s="47">
        <v>6100</v>
      </c>
      <c r="CN21" s="46">
        <v>13300</v>
      </c>
      <c r="CO21" s="46">
        <f>25280+20930</f>
        <v>46210</v>
      </c>
      <c r="CP21" s="47">
        <v>46210</v>
      </c>
      <c r="CQ21" s="46">
        <v>56032</v>
      </c>
      <c r="CR21" s="46">
        <v>100</v>
      </c>
      <c r="CS21" s="48">
        <f>100+178865+22653+22456+23542-1</f>
        <v>247615</v>
      </c>
      <c r="CT21" s="46">
        <v>300</v>
      </c>
      <c r="CU21" s="46"/>
      <c r="CV21" s="46"/>
      <c r="CW21" s="46"/>
      <c r="CX21" s="37">
        <f t="shared" si="29"/>
        <v>132228</v>
      </c>
      <c r="CY21" s="37">
        <f t="shared" si="29"/>
        <v>398160</v>
      </c>
      <c r="CZ21" s="37">
        <f t="shared" si="29"/>
        <v>185485</v>
      </c>
      <c r="DA21" s="46">
        <v>12000</v>
      </c>
      <c r="DB21" s="48">
        <f>12000+200+1000+840</f>
        <v>14040</v>
      </c>
      <c r="DC21" s="46">
        <f>15240+1360</f>
        <v>16600</v>
      </c>
      <c r="DD21" s="46"/>
      <c r="DE21" s="46"/>
      <c r="DF21" s="46"/>
      <c r="DG21" s="46"/>
      <c r="DH21" s="46"/>
      <c r="DI21" s="46"/>
      <c r="DJ21" s="46"/>
      <c r="DK21" s="46"/>
      <c r="DL21" s="46"/>
      <c r="DM21" s="35">
        <f t="shared" si="30"/>
        <v>12000</v>
      </c>
      <c r="DN21" s="35">
        <f t="shared" si="30"/>
        <v>14040</v>
      </c>
      <c r="DO21" s="35">
        <f t="shared" si="30"/>
        <v>16600</v>
      </c>
      <c r="DP21" s="46"/>
      <c r="DQ21" s="46"/>
      <c r="DR21" s="46"/>
      <c r="DS21" s="46"/>
      <c r="DT21" s="46"/>
      <c r="DU21" s="46"/>
      <c r="DV21" s="37">
        <f t="shared" si="31"/>
        <v>0</v>
      </c>
      <c r="DW21" s="37">
        <f t="shared" si="31"/>
        <v>0</v>
      </c>
      <c r="DX21" s="37">
        <f t="shared" si="31"/>
        <v>0</v>
      </c>
      <c r="DY21" s="37">
        <f t="shared" si="32"/>
        <v>1550322</v>
      </c>
      <c r="DZ21" s="37">
        <f t="shared" si="32"/>
        <v>1966756</v>
      </c>
      <c r="EA21" s="37">
        <f t="shared" si="32"/>
        <v>1829217</v>
      </c>
      <c r="EB21" s="34" t="s">
        <v>86</v>
      </c>
      <c r="EC21" s="23"/>
    </row>
    <row r="22" spans="1:133" ht="15">
      <c r="A22" s="33" t="s">
        <v>87</v>
      </c>
      <c r="B22" s="34" t="s">
        <v>88</v>
      </c>
      <c r="C22" s="46">
        <f>133379+18000</f>
        <v>151379</v>
      </c>
      <c r="D22" s="47">
        <v>151379</v>
      </c>
      <c r="E22" s="46">
        <v>143590</v>
      </c>
      <c r="F22" s="46"/>
      <c r="G22" s="84">
        <f>8836+26370-4280</f>
        <v>30926</v>
      </c>
      <c r="H22" s="46"/>
      <c r="I22" s="35">
        <f t="shared" si="25"/>
        <v>151379</v>
      </c>
      <c r="J22" s="35">
        <f t="shared" si="25"/>
        <v>182305</v>
      </c>
      <c r="K22" s="35">
        <f t="shared" si="25"/>
        <v>143590</v>
      </c>
      <c r="L22" s="46">
        <v>1110</v>
      </c>
      <c r="M22" s="47">
        <v>1110</v>
      </c>
      <c r="N22" s="46">
        <v>1110</v>
      </c>
      <c r="O22" s="46">
        <f>500+1200</f>
        <v>1700</v>
      </c>
      <c r="P22" s="47">
        <v>1750</v>
      </c>
      <c r="Q22" s="46">
        <f>931+985+500+275</f>
        <v>2691</v>
      </c>
      <c r="R22" s="47">
        <v>300</v>
      </c>
      <c r="S22" s="47">
        <v>300</v>
      </c>
      <c r="T22" s="46">
        <f>250+260</f>
        <v>510</v>
      </c>
      <c r="U22" s="46"/>
      <c r="V22" s="46"/>
      <c r="W22" s="46"/>
      <c r="X22" s="37">
        <f t="shared" si="26"/>
        <v>3110</v>
      </c>
      <c r="Y22" s="37">
        <f t="shared" si="26"/>
        <v>3160</v>
      </c>
      <c r="Z22" s="37">
        <f t="shared" si="26"/>
        <v>4311</v>
      </c>
      <c r="AA22" s="46">
        <f>210515+3000</f>
        <v>213515</v>
      </c>
      <c r="AB22" s="84">
        <f>213515+304-12900</f>
        <v>200919</v>
      </c>
      <c r="AC22" s="46">
        <f>227460+4769</f>
        <v>232229</v>
      </c>
      <c r="AD22" s="46">
        <f>10333+1031</f>
        <v>11364</v>
      </c>
      <c r="AE22" s="84">
        <f>11364+1441+40-400</f>
        <v>12445</v>
      </c>
      <c r="AF22" s="81">
        <f>936+4+20+12319+1988</f>
        <v>15267</v>
      </c>
      <c r="AG22" s="84">
        <f>400611+8388</f>
        <v>408999</v>
      </c>
      <c r="AH22" s="84">
        <f>408999+12877+5319+637+379+7004+333+109+208+2938</f>
        <v>438803</v>
      </c>
      <c r="AI22" s="46">
        <f>466859+9647</f>
        <v>476506</v>
      </c>
      <c r="AJ22" s="46">
        <f>17734+54</f>
        <v>17788</v>
      </c>
      <c r="AK22" s="84">
        <f>17788+500+1000+19-500</f>
        <v>18807</v>
      </c>
      <c r="AL22" s="84">
        <f>25500+2371</f>
        <v>27871</v>
      </c>
      <c r="AM22" s="84">
        <v>5500</v>
      </c>
      <c r="AN22" s="84">
        <f>5500+41-223</f>
        <v>5318</v>
      </c>
      <c r="AO22" s="46">
        <v>6100</v>
      </c>
      <c r="AP22" s="46">
        <f>8419+1466</f>
        <v>9885</v>
      </c>
      <c r="AQ22" s="84">
        <f>9885+2100+799-1000</f>
        <v>11784</v>
      </c>
      <c r="AR22" s="84">
        <f>13904+3732</f>
        <v>17636</v>
      </c>
      <c r="AS22" s="84">
        <v>300</v>
      </c>
      <c r="AT22" s="84">
        <f>300+280+306+88+100</f>
        <v>1074</v>
      </c>
      <c r="AU22" s="35">
        <v>500</v>
      </c>
      <c r="AV22" s="37">
        <f t="shared" si="27"/>
        <v>667351</v>
      </c>
      <c r="AW22" s="37">
        <f t="shared" si="27"/>
        <v>689150</v>
      </c>
      <c r="AX22" s="37">
        <f t="shared" si="27"/>
        <v>776109</v>
      </c>
      <c r="AY22" s="47">
        <v>15000</v>
      </c>
      <c r="AZ22" s="47">
        <f>15000+4000</f>
        <v>19000</v>
      </c>
      <c r="BA22" s="46">
        <v>20000</v>
      </c>
      <c r="BB22" s="47">
        <v>14000</v>
      </c>
      <c r="BC22" s="48">
        <f>14000+2500</f>
        <v>16500</v>
      </c>
      <c r="BD22" s="46">
        <f>18000+640</f>
        <v>18640</v>
      </c>
      <c r="BE22" s="47">
        <v>370</v>
      </c>
      <c r="BF22" s="47">
        <v>370</v>
      </c>
      <c r="BG22" s="46">
        <v>500</v>
      </c>
      <c r="BH22" s="37">
        <f t="shared" si="28"/>
        <v>29370</v>
      </c>
      <c r="BI22" s="37">
        <f t="shared" si="28"/>
        <v>35870</v>
      </c>
      <c r="BJ22" s="37">
        <f t="shared" si="28"/>
        <v>39140</v>
      </c>
      <c r="BK22" s="46">
        <v>7244</v>
      </c>
      <c r="BL22" s="47">
        <f>7244+2000</f>
        <v>9244</v>
      </c>
      <c r="BM22" s="84">
        <v>9180</v>
      </c>
      <c r="BN22" s="87">
        <v>250</v>
      </c>
      <c r="BO22" s="87">
        <f>250+2108+171+137+822</f>
        <v>3488</v>
      </c>
      <c r="BP22" s="87">
        <v>93</v>
      </c>
      <c r="BQ22" s="46">
        <v>8800</v>
      </c>
      <c r="BR22" s="84">
        <f>8800-1200</f>
        <v>7600</v>
      </c>
      <c r="BS22" s="46">
        <v>11645</v>
      </c>
      <c r="BT22" s="46">
        <v>6830</v>
      </c>
      <c r="BU22" s="47">
        <v>6830</v>
      </c>
      <c r="BV22" s="46">
        <v>8600</v>
      </c>
      <c r="BW22" s="46">
        <v>9000</v>
      </c>
      <c r="BX22" s="47">
        <v>9000</v>
      </c>
      <c r="BY22" s="46">
        <v>11800</v>
      </c>
      <c r="BZ22" s="46"/>
      <c r="CA22" s="47">
        <v>3000</v>
      </c>
      <c r="CB22" s="46">
        <v>6700</v>
      </c>
      <c r="CC22" s="37">
        <v>8</v>
      </c>
      <c r="CD22" s="37">
        <v>8</v>
      </c>
      <c r="CE22" s="37">
        <v>7</v>
      </c>
      <c r="CF22" s="47">
        <v>4500</v>
      </c>
      <c r="CG22" s="47">
        <v>4500</v>
      </c>
      <c r="CH22" s="46">
        <v>5200</v>
      </c>
      <c r="CI22" s="46">
        <v>7400</v>
      </c>
      <c r="CJ22" s="47">
        <v>7400</v>
      </c>
      <c r="CK22" s="46">
        <v>9000</v>
      </c>
      <c r="CL22" s="46"/>
      <c r="CM22" s="47">
        <v>3600</v>
      </c>
      <c r="CN22" s="46">
        <v>7800</v>
      </c>
      <c r="CO22" s="47">
        <f>26955+0</f>
        <v>26955</v>
      </c>
      <c r="CP22" s="47">
        <v>26955</v>
      </c>
      <c r="CQ22" s="46">
        <v>32684</v>
      </c>
      <c r="CR22" s="46">
        <v>80</v>
      </c>
      <c r="CS22" s="48">
        <f>80+66242+8704+8590+9132-1</f>
        <v>92747</v>
      </c>
      <c r="CT22" s="46">
        <v>180</v>
      </c>
      <c r="CU22" s="46"/>
      <c r="CV22" s="46"/>
      <c r="CW22" s="46"/>
      <c r="CX22" s="37">
        <f t="shared" si="29"/>
        <v>71067</v>
      </c>
      <c r="CY22" s="37">
        <f t="shared" si="29"/>
        <v>174372</v>
      </c>
      <c r="CZ22" s="37">
        <f t="shared" si="29"/>
        <v>102889</v>
      </c>
      <c r="DA22" s="46">
        <v>6670</v>
      </c>
      <c r="DB22" s="48">
        <f>6670+170+2000-840</f>
        <v>8000</v>
      </c>
      <c r="DC22" s="46">
        <f>7800+1000</f>
        <v>8800</v>
      </c>
      <c r="DD22" s="46"/>
      <c r="DE22" s="46"/>
      <c r="DF22" s="46"/>
      <c r="DG22" s="46"/>
      <c r="DH22" s="46"/>
      <c r="DI22" s="46"/>
      <c r="DJ22" s="46"/>
      <c r="DK22" s="46"/>
      <c r="DL22" s="46"/>
      <c r="DM22" s="35">
        <f t="shared" si="30"/>
        <v>6670</v>
      </c>
      <c r="DN22" s="35">
        <f t="shared" si="30"/>
        <v>8000</v>
      </c>
      <c r="DO22" s="35">
        <f t="shared" si="30"/>
        <v>8800</v>
      </c>
      <c r="DP22" s="46"/>
      <c r="DQ22" s="46"/>
      <c r="DR22" s="46"/>
      <c r="DS22" s="46"/>
      <c r="DT22" s="46"/>
      <c r="DU22" s="46"/>
      <c r="DV22" s="37">
        <f t="shared" si="31"/>
        <v>0</v>
      </c>
      <c r="DW22" s="37">
        <f t="shared" si="31"/>
        <v>0</v>
      </c>
      <c r="DX22" s="37">
        <f t="shared" si="31"/>
        <v>0</v>
      </c>
      <c r="DY22" s="37">
        <f t="shared" si="32"/>
        <v>928947</v>
      </c>
      <c r="DZ22" s="37">
        <f t="shared" si="32"/>
        <v>1092857</v>
      </c>
      <c r="EA22" s="37">
        <f t="shared" si="32"/>
        <v>1074839</v>
      </c>
      <c r="EB22" s="34" t="s">
        <v>88</v>
      </c>
      <c r="EC22" s="23"/>
    </row>
    <row r="23" spans="1:133" s="32" customFormat="1">
      <c r="A23" s="39" t="s">
        <v>89</v>
      </c>
      <c r="B23" s="25" t="s">
        <v>90</v>
      </c>
      <c r="C23" s="28">
        <f t="shared" ref="C23:AE23" si="33">SUM(C24:C37)</f>
        <v>0</v>
      </c>
      <c r="D23" s="28">
        <f t="shared" si="33"/>
        <v>0</v>
      </c>
      <c r="E23" s="28">
        <f t="shared" si="33"/>
        <v>0</v>
      </c>
      <c r="F23" s="28">
        <f>SUM(F24:F37)</f>
        <v>0</v>
      </c>
      <c r="G23" s="80">
        <f>SUM(G24:G37)</f>
        <v>98169</v>
      </c>
      <c r="H23" s="28">
        <f>SUM(H24:H37)</f>
        <v>1574</v>
      </c>
      <c r="I23" s="28">
        <f t="shared" si="33"/>
        <v>0</v>
      </c>
      <c r="J23" s="28">
        <f t="shared" si="33"/>
        <v>98169</v>
      </c>
      <c r="K23" s="28">
        <f t="shared" si="33"/>
        <v>1574</v>
      </c>
      <c r="L23" s="26">
        <f>SUM(L24:L37)</f>
        <v>128587</v>
      </c>
      <c r="M23" s="27">
        <f>SUM(M24:M37)</f>
        <v>128587</v>
      </c>
      <c r="N23" s="28">
        <f t="shared" si="33"/>
        <v>169745</v>
      </c>
      <c r="O23" s="26">
        <f>SUM(O24:O37)</f>
        <v>31723</v>
      </c>
      <c r="P23" s="27">
        <f>SUM(P24:P37)</f>
        <v>31723</v>
      </c>
      <c r="Q23" s="28">
        <f t="shared" si="33"/>
        <v>33496</v>
      </c>
      <c r="R23" s="27">
        <f>SUM(R24:R37)</f>
        <v>33100</v>
      </c>
      <c r="S23" s="27">
        <f>SUM(S24:S37)</f>
        <v>33100</v>
      </c>
      <c r="T23" s="28">
        <f t="shared" si="33"/>
        <v>39052</v>
      </c>
      <c r="U23" s="28">
        <f t="shared" si="33"/>
        <v>0</v>
      </c>
      <c r="V23" s="28">
        <f t="shared" si="33"/>
        <v>0</v>
      </c>
      <c r="W23" s="28">
        <f t="shared" si="33"/>
        <v>0</v>
      </c>
      <c r="X23" s="29">
        <f t="shared" si="33"/>
        <v>193410</v>
      </c>
      <c r="Y23" s="29">
        <f t="shared" si="33"/>
        <v>193410</v>
      </c>
      <c r="Z23" s="28">
        <f t="shared" si="33"/>
        <v>242293</v>
      </c>
      <c r="AA23" s="26">
        <f t="shared" si="33"/>
        <v>2486819</v>
      </c>
      <c r="AB23" s="80">
        <f t="shared" si="33"/>
        <v>2784805</v>
      </c>
      <c r="AC23" s="28">
        <f t="shared" si="33"/>
        <v>3134112</v>
      </c>
      <c r="AD23" s="26">
        <f t="shared" si="33"/>
        <v>337357</v>
      </c>
      <c r="AE23" s="80">
        <f t="shared" si="33"/>
        <v>294072</v>
      </c>
      <c r="AF23" s="85">
        <f>SUM(AF24:AF39)</f>
        <v>383310</v>
      </c>
      <c r="AG23" s="80">
        <f t="shared" ref="AG23:CB23" si="34">SUM(AG24:AG37)</f>
        <v>2501752</v>
      </c>
      <c r="AH23" s="80">
        <f t="shared" si="34"/>
        <v>2921847</v>
      </c>
      <c r="AI23" s="28">
        <f t="shared" si="34"/>
        <v>2593977</v>
      </c>
      <c r="AJ23" s="26">
        <f t="shared" si="34"/>
        <v>277421</v>
      </c>
      <c r="AK23" s="80">
        <f t="shared" si="34"/>
        <v>302528</v>
      </c>
      <c r="AL23" s="85">
        <f t="shared" si="34"/>
        <v>389745</v>
      </c>
      <c r="AM23" s="80">
        <f t="shared" si="34"/>
        <v>3368</v>
      </c>
      <c r="AN23" s="80">
        <f t="shared" si="34"/>
        <v>11714</v>
      </c>
      <c r="AO23" s="28">
        <f t="shared" si="34"/>
        <v>44903</v>
      </c>
      <c r="AP23" s="26">
        <f t="shared" si="34"/>
        <v>134770</v>
      </c>
      <c r="AQ23" s="80">
        <f t="shared" si="34"/>
        <v>145253</v>
      </c>
      <c r="AR23" s="85">
        <f t="shared" si="34"/>
        <v>121017</v>
      </c>
      <c r="AS23" s="80">
        <f t="shared" si="34"/>
        <v>30422</v>
      </c>
      <c r="AT23" s="80">
        <f t="shared" si="34"/>
        <v>173855</v>
      </c>
      <c r="AU23" s="28">
        <f t="shared" si="34"/>
        <v>140777</v>
      </c>
      <c r="AV23" s="29">
        <f t="shared" si="34"/>
        <v>5771909</v>
      </c>
      <c r="AW23" s="29">
        <f t="shared" si="34"/>
        <v>6634074</v>
      </c>
      <c r="AX23" s="29">
        <f t="shared" si="34"/>
        <v>6807841</v>
      </c>
      <c r="AY23" s="27">
        <f t="shared" si="34"/>
        <v>118650</v>
      </c>
      <c r="AZ23" s="27">
        <f t="shared" si="34"/>
        <v>118650</v>
      </c>
      <c r="BA23" s="28">
        <f t="shared" si="34"/>
        <v>111100</v>
      </c>
      <c r="BB23" s="27">
        <f t="shared" si="34"/>
        <v>37500</v>
      </c>
      <c r="BC23" s="27">
        <f t="shared" si="34"/>
        <v>37500</v>
      </c>
      <c r="BD23" s="28">
        <f t="shared" si="34"/>
        <v>54500</v>
      </c>
      <c r="BE23" s="27">
        <f t="shared" si="34"/>
        <v>8750</v>
      </c>
      <c r="BF23" s="30">
        <f t="shared" si="34"/>
        <v>10475</v>
      </c>
      <c r="BG23" s="28">
        <f t="shared" si="34"/>
        <v>4250</v>
      </c>
      <c r="BH23" s="29">
        <f t="shared" si="34"/>
        <v>164900</v>
      </c>
      <c r="BI23" s="29">
        <f t="shared" si="34"/>
        <v>166625</v>
      </c>
      <c r="BJ23" s="28">
        <f t="shared" si="34"/>
        <v>169850</v>
      </c>
      <c r="BK23" s="26">
        <f t="shared" si="34"/>
        <v>199831</v>
      </c>
      <c r="BL23" s="27">
        <f t="shared" si="34"/>
        <v>203837</v>
      </c>
      <c r="BM23" s="85">
        <f t="shared" si="34"/>
        <v>236145</v>
      </c>
      <c r="BN23" s="85">
        <f t="shared" si="34"/>
        <v>0</v>
      </c>
      <c r="BO23" s="85">
        <f t="shared" si="34"/>
        <v>0</v>
      </c>
      <c r="BP23" s="85">
        <f t="shared" si="34"/>
        <v>0</v>
      </c>
      <c r="BQ23" s="26">
        <f t="shared" si="34"/>
        <v>252041</v>
      </c>
      <c r="BR23" s="80">
        <f t="shared" si="34"/>
        <v>252041</v>
      </c>
      <c r="BS23" s="28">
        <f t="shared" si="34"/>
        <v>270417</v>
      </c>
      <c r="BT23" s="26">
        <f t="shared" si="34"/>
        <v>175750</v>
      </c>
      <c r="BU23" s="27">
        <f t="shared" si="34"/>
        <v>175750</v>
      </c>
      <c r="BV23" s="28">
        <f t="shared" si="34"/>
        <v>166541</v>
      </c>
      <c r="BW23" s="26">
        <f t="shared" si="34"/>
        <v>192279</v>
      </c>
      <c r="BX23" s="31">
        <f t="shared" si="34"/>
        <v>192279</v>
      </c>
      <c r="BY23" s="28">
        <f t="shared" si="34"/>
        <v>223448</v>
      </c>
      <c r="BZ23" s="26">
        <f t="shared" si="34"/>
        <v>0</v>
      </c>
      <c r="CA23" s="27">
        <f t="shared" si="34"/>
        <v>38425</v>
      </c>
      <c r="CB23" s="28">
        <f t="shared" si="34"/>
        <v>167313</v>
      </c>
      <c r="CC23" s="28">
        <f t="shared" ref="CC23:CD23" si="35">SUM(CC24:CC37)</f>
        <v>0</v>
      </c>
      <c r="CD23" s="28">
        <f t="shared" si="35"/>
        <v>0</v>
      </c>
      <c r="CE23" s="28">
        <f t="shared" ref="CE23:CK23" si="36">SUM(CE24:CE37)</f>
        <v>0</v>
      </c>
      <c r="CF23" s="27">
        <f t="shared" si="36"/>
        <v>97197</v>
      </c>
      <c r="CG23" s="27">
        <f t="shared" si="36"/>
        <v>97197</v>
      </c>
      <c r="CH23" s="28">
        <f t="shared" si="36"/>
        <v>116063</v>
      </c>
      <c r="CI23" s="26">
        <f t="shared" si="36"/>
        <v>98495</v>
      </c>
      <c r="CJ23" s="27">
        <f t="shared" si="36"/>
        <v>98495</v>
      </c>
      <c r="CK23" s="28">
        <f t="shared" si="36"/>
        <v>146144</v>
      </c>
      <c r="CL23" s="26">
        <f t="shared" ref="CL23:CP23" si="37">SUM(CL24:CL37)</f>
        <v>0</v>
      </c>
      <c r="CM23" s="27">
        <f t="shared" si="37"/>
        <v>75100</v>
      </c>
      <c r="CN23" s="28">
        <f t="shared" si="37"/>
        <v>331377</v>
      </c>
      <c r="CO23" s="27">
        <f t="shared" si="37"/>
        <v>373345</v>
      </c>
      <c r="CP23" s="27">
        <f t="shared" si="37"/>
        <v>373345</v>
      </c>
      <c r="CQ23" s="28">
        <f t="shared" ref="CQ23:DB23" si="38">SUM(CQ24:CQ37)</f>
        <v>290049</v>
      </c>
      <c r="CR23" s="28">
        <f t="shared" si="38"/>
        <v>100142</v>
      </c>
      <c r="CS23" s="30">
        <f t="shared" si="38"/>
        <v>282268</v>
      </c>
      <c r="CT23" s="28">
        <f t="shared" si="38"/>
        <v>207579</v>
      </c>
      <c r="CU23" s="28">
        <f t="shared" si="38"/>
        <v>0</v>
      </c>
      <c r="CV23" s="28">
        <f t="shared" si="38"/>
        <v>0</v>
      </c>
      <c r="CW23" s="28">
        <f t="shared" si="38"/>
        <v>0</v>
      </c>
      <c r="CX23" s="29">
        <f t="shared" si="38"/>
        <v>1489080</v>
      </c>
      <c r="CY23" s="29">
        <f t="shared" si="38"/>
        <v>1788737</v>
      </c>
      <c r="CZ23" s="29">
        <f t="shared" si="38"/>
        <v>2155076</v>
      </c>
      <c r="DA23" s="26">
        <f t="shared" si="38"/>
        <v>98751</v>
      </c>
      <c r="DB23" s="27">
        <f t="shared" si="38"/>
        <v>195877</v>
      </c>
      <c r="DC23" s="28">
        <f t="shared" ref="DC23:DU23" si="39">SUM(DC24:DC37)</f>
        <v>160792</v>
      </c>
      <c r="DD23" s="28">
        <f t="shared" si="39"/>
        <v>38907</v>
      </c>
      <c r="DE23" s="30">
        <f t="shared" si="39"/>
        <v>68554</v>
      </c>
      <c r="DF23" s="28">
        <f t="shared" si="39"/>
        <v>41075</v>
      </c>
      <c r="DG23" s="28">
        <f t="shared" si="39"/>
        <v>0</v>
      </c>
      <c r="DH23" s="28">
        <f t="shared" si="39"/>
        <v>0</v>
      </c>
      <c r="DI23" s="28">
        <f t="shared" si="39"/>
        <v>0</v>
      </c>
      <c r="DJ23" s="28">
        <f t="shared" si="39"/>
        <v>0</v>
      </c>
      <c r="DK23" s="28">
        <f t="shared" si="39"/>
        <v>3346</v>
      </c>
      <c r="DL23" s="28">
        <f t="shared" si="39"/>
        <v>3346</v>
      </c>
      <c r="DM23" s="28">
        <f t="shared" si="39"/>
        <v>137658</v>
      </c>
      <c r="DN23" s="28">
        <f t="shared" si="39"/>
        <v>267777</v>
      </c>
      <c r="DO23" s="28">
        <f t="shared" si="39"/>
        <v>205213</v>
      </c>
      <c r="DP23" s="28">
        <f t="shared" si="39"/>
        <v>0</v>
      </c>
      <c r="DQ23" s="28">
        <f t="shared" si="39"/>
        <v>0</v>
      </c>
      <c r="DR23" s="28">
        <f t="shared" si="39"/>
        <v>0</v>
      </c>
      <c r="DS23" s="28">
        <f t="shared" si="39"/>
        <v>0</v>
      </c>
      <c r="DT23" s="28">
        <f t="shared" si="39"/>
        <v>7280</v>
      </c>
      <c r="DU23" s="28">
        <f t="shared" si="39"/>
        <v>0</v>
      </c>
      <c r="DV23" s="29">
        <f t="shared" ref="DV23:EA23" si="40">SUM(DV24:DV37)</f>
        <v>0</v>
      </c>
      <c r="DW23" s="29">
        <f t="shared" si="40"/>
        <v>7280</v>
      </c>
      <c r="DX23" s="28">
        <f t="shared" si="40"/>
        <v>0</v>
      </c>
      <c r="DY23" s="29">
        <f t="shared" si="40"/>
        <v>7756957</v>
      </c>
      <c r="DZ23" s="29">
        <f t="shared" si="40"/>
        <v>9156072</v>
      </c>
      <c r="EA23" s="29">
        <f t="shared" si="40"/>
        <v>9581847</v>
      </c>
      <c r="EB23" s="25" t="s">
        <v>90</v>
      </c>
      <c r="EC23" s="297"/>
    </row>
    <row r="24" spans="1:133">
      <c r="A24" s="33" t="s">
        <v>91</v>
      </c>
      <c r="B24" s="34" t="s">
        <v>92</v>
      </c>
      <c r="C24" s="35">
        <v>0</v>
      </c>
      <c r="D24" s="35">
        <v>0</v>
      </c>
      <c r="E24" s="35">
        <v>0</v>
      </c>
      <c r="F24" s="35">
        <v>0</v>
      </c>
      <c r="G24" s="81">
        <f>500-462</f>
        <v>38</v>
      </c>
      <c r="H24" s="35">
        <v>0</v>
      </c>
      <c r="I24" s="35">
        <f t="shared" ref="I24:I41" si="41">SUM(C24,F24,)</f>
        <v>0</v>
      </c>
      <c r="J24" s="35">
        <f t="shared" ref="J24:J41" si="42">SUM(D24,G24,)</f>
        <v>38</v>
      </c>
      <c r="K24" s="35">
        <f t="shared" ref="K24:K41" si="43">SUM(E24,H24,)</f>
        <v>0</v>
      </c>
      <c r="L24" s="35">
        <v>0</v>
      </c>
      <c r="M24" s="36">
        <v>0</v>
      </c>
      <c r="N24" s="35">
        <v>0</v>
      </c>
      <c r="O24" s="35">
        <v>2000</v>
      </c>
      <c r="P24" s="36">
        <v>2000</v>
      </c>
      <c r="Q24" s="35">
        <v>2500</v>
      </c>
      <c r="R24" s="36">
        <v>0</v>
      </c>
      <c r="S24" s="36">
        <v>0</v>
      </c>
      <c r="T24" s="35">
        <v>0</v>
      </c>
      <c r="U24" s="35">
        <v>0</v>
      </c>
      <c r="V24" s="35">
        <v>0</v>
      </c>
      <c r="W24" s="35">
        <v>0</v>
      </c>
      <c r="X24" s="37">
        <f t="shared" ref="X24:X50" si="44">SUM(L24,O24,R24,U24)</f>
        <v>2000</v>
      </c>
      <c r="Y24" s="37">
        <f t="shared" ref="Y24:Y50" si="45">SUM(M24,P24,S24,V24)</f>
        <v>2000</v>
      </c>
      <c r="Z24" s="37">
        <f t="shared" ref="Z24:Z50" si="46">SUM(N24,Q24,T24,W24)</f>
        <v>2500</v>
      </c>
      <c r="AA24" s="35">
        <f>713048+301399</f>
        <v>1014447</v>
      </c>
      <c r="AB24" s="81">
        <f>1014447+79-13700+29038+125-14772</f>
        <v>1015217</v>
      </c>
      <c r="AC24" s="35">
        <f>896234+340497</f>
        <v>1236731</v>
      </c>
      <c r="AD24" s="35">
        <f>41440+16726</f>
        <v>58166</v>
      </c>
      <c r="AE24" s="81">
        <f>58166-925-1600+1188</f>
        <v>56829</v>
      </c>
      <c r="AF24" s="81">
        <f>45333+27492</f>
        <v>72825</v>
      </c>
      <c r="AG24" s="81">
        <f>387205+104643</f>
        <v>491848</v>
      </c>
      <c r="AH24" s="81">
        <f>491848+3960+3500+11484+980+2400</f>
        <v>514172</v>
      </c>
      <c r="AI24" s="35">
        <f>432216+165957</f>
        <v>598173</v>
      </c>
      <c r="AJ24" s="35"/>
      <c r="AK24" s="81"/>
      <c r="AL24" s="81"/>
      <c r="AM24" s="81">
        <v>0</v>
      </c>
      <c r="AN24" s="81">
        <v>0</v>
      </c>
      <c r="AO24" s="35">
        <v>0</v>
      </c>
      <c r="AP24" s="35">
        <v>0</v>
      </c>
      <c r="AQ24" s="81">
        <v>0</v>
      </c>
      <c r="AR24" s="81">
        <v>0</v>
      </c>
      <c r="AS24" s="81">
        <v>500</v>
      </c>
      <c r="AT24" s="81">
        <f>500-500</f>
        <v>0</v>
      </c>
      <c r="AU24" s="35"/>
      <c r="AV24" s="37">
        <f t="shared" ref="AV24:AV37" si="47">SUM(AA24,AD24,AG24,AJ24,AM24,AP24,AS24)</f>
        <v>1564961</v>
      </c>
      <c r="AW24" s="37">
        <f t="shared" ref="AW24:AW37" si="48">SUM(AB24,AE24,AH24,AK24,AN24,AQ24,AT24)</f>
        <v>1586218</v>
      </c>
      <c r="AX24" s="37">
        <f t="shared" ref="AX24:AX37" si="49">SUM(AC24,AF24,AI24,AL24,AO24,AR24,AU24)</f>
        <v>1907729</v>
      </c>
      <c r="AY24" s="36">
        <v>22000</v>
      </c>
      <c r="AZ24" s="36">
        <v>22000</v>
      </c>
      <c r="BA24" s="35">
        <f>10000+15000</f>
        <v>25000</v>
      </c>
      <c r="BB24" s="36">
        <v>0</v>
      </c>
      <c r="BC24" s="36">
        <v>0</v>
      </c>
      <c r="BD24" s="35"/>
      <c r="BE24" s="36">
        <v>0</v>
      </c>
      <c r="BF24" s="36">
        <v>0</v>
      </c>
      <c r="BG24" s="35">
        <v>0</v>
      </c>
      <c r="BH24" s="37">
        <f t="shared" ref="BH24:BH37" si="50">SUM(AY24,BB24,BE24)</f>
        <v>22000</v>
      </c>
      <c r="BI24" s="37">
        <f t="shared" ref="BI24:BI37" si="51">SUM(AZ24,BC24,BF24)</f>
        <v>22000</v>
      </c>
      <c r="BJ24" s="37">
        <f t="shared" ref="BJ24:BJ37" si="52">SUM(BA24,BD24,BG24)</f>
        <v>25000</v>
      </c>
      <c r="BK24" s="35">
        <f>62002+50000</f>
        <v>112002</v>
      </c>
      <c r="BL24" s="36">
        <f>112002-7182</f>
        <v>104820</v>
      </c>
      <c r="BM24" s="81">
        <v>131760</v>
      </c>
      <c r="BN24" s="81">
        <v>0</v>
      </c>
      <c r="BO24" s="81"/>
      <c r="BP24" s="81">
        <v>0</v>
      </c>
      <c r="BQ24" s="35">
        <f>22000+20000</f>
        <v>42000</v>
      </c>
      <c r="BR24" s="81">
        <f>42000-6000-2000</f>
        <v>34000</v>
      </c>
      <c r="BS24" s="35">
        <v>66695</v>
      </c>
      <c r="BT24" s="35">
        <v>41378</v>
      </c>
      <c r="BU24" s="36">
        <v>41378</v>
      </c>
      <c r="BV24" s="35">
        <v>46116</v>
      </c>
      <c r="BW24" s="35">
        <v>0</v>
      </c>
      <c r="BX24" s="36">
        <v>0</v>
      </c>
      <c r="BY24" s="35">
        <v>0</v>
      </c>
      <c r="BZ24" s="35">
        <v>0</v>
      </c>
      <c r="CA24" s="36">
        <v>0</v>
      </c>
      <c r="CB24" s="35">
        <v>0</v>
      </c>
      <c r="CC24" s="35">
        <v>0</v>
      </c>
      <c r="CD24" s="35"/>
      <c r="CE24" s="35">
        <v>0</v>
      </c>
      <c r="CF24" s="36"/>
      <c r="CG24" s="36"/>
      <c r="CH24" s="35"/>
      <c r="CI24" s="35">
        <v>31942</v>
      </c>
      <c r="CJ24" s="36">
        <v>31942</v>
      </c>
      <c r="CK24" s="35">
        <v>50000</v>
      </c>
      <c r="CL24" s="35"/>
      <c r="CM24" s="36">
        <v>25000</v>
      </c>
      <c r="CN24" s="35">
        <f>70000+10000</f>
        <v>80000</v>
      </c>
      <c r="CO24" s="36">
        <v>0</v>
      </c>
      <c r="CP24" s="36">
        <v>0</v>
      </c>
      <c r="CQ24" s="35">
        <v>0</v>
      </c>
      <c r="CR24" s="35">
        <v>0</v>
      </c>
      <c r="CS24" s="36">
        <v>0</v>
      </c>
      <c r="CT24" s="35">
        <v>0</v>
      </c>
      <c r="CU24" s="35"/>
      <c r="CV24" s="35"/>
      <c r="CW24" s="35"/>
      <c r="CX24" s="37">
        <f t="shared" ref="CX24:CX37" si="53">SUM(BK24,BN24,BQ24,BT24,CC24,BW24,CF24,CI24,CO24,CR24,CU24,CL24,BZ24)</f>
        <v>227322</v>
      </c>
      <c r="CY24" s="37">
        <f t="shared" ref="CY24:CY37" si="54">SUM(BL24,BO24,BR24,BU24,CD24,BX24,CG24,CJ24,CP24,CS24,CV24,CM24,CA24)</f>
        <v>237140</v>
      </c>
      <c r="CZ24" s="37">
        <f t="shared" ref="CZ24:CZ37" si="55">SUM(BM24,BP24,BS24,BV24,CE24,BY24,CH24,CK24,CQ24,CT24,CW24,CN24,CB24)</f>
        <v>374571</v>
      </c>
      <c r="DA24" s="35">
        <v>0</v>
      </c>
      <c r="DB24" s="36">
        <v>0</v>
      </c>
      <c r="DC24" s="35">
        <v>0</v>
      </c>
      <c r="DD24" s="35">
        <v>0</v>
      </c>
      <c r="DE24" s="36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f t="shared" ref="DM24:DO30" si="56">SUM(DA24,DD24,DG24)</f>
        <v>0</v>
      </c>
      <c r="DN24" s="35">
        <f t="shared" si="56"/>
        <v>0</v>
      </c>
      <c r="DO24" s="35">
        <f t="shared" si="56"/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7">
        <f t="shared" ref="DV24:DV37" si="57">SUM(DP24,DS24)</f>
        <v>0</v>
      </c>
      <c r="DW24" s="37">
        <f t="shared" ref="DW24:DW37" si="58">SUM(DQ24,DT24)</f>
        <v>0</v>
      </c>
      <c r="DX24" s="37">
        <f t="shared" ref="DX24:DX37" si="59">SUM(DR24,DU24)</f>
        <v>0</v>
      </c>
      <c r="DY24" s="37">
        <f t="shared" ref="DY24:DY37" si="60">SUM(I24,X24,AV24,BH24,CX24,DM24,DV24)</f>
        <v>1816283</v>
      </c>
      <c r="DZ24" s="37">
        <f t="shared" ref="DZ24:DZ37" si="61">SUM(J24,Y24,AW24,BI24,CY24,DN24,DW24)</f>
        <v>1847396</v>
      </c>
      <c r="EA24" s="37">
        <f t="shared" ref="EA24:EA37" si="62">SUM(K24,Z24,AX24,BJ24,CZ24,DO24,DX24)</f>
        <v>2309800</v>
      </c>
      <c r="EB24" s="34" t="s">
        <v>92</v>
      </c>
      <c r="EC24" s="23"/>
    </row>
    <row r="25" spans="1:133">
      <c r="A25" s="33" t="s">
        <v>93</v>
      </c>
      <c r="B25" s="34" t="s">
        <v>94</v>
      </c>
      <c r="C25" s="35">
        <v>0</v>
      </c>
      <c r="D25" s="35">
        <v>0</v>
      </c>
      <c r="E25" s="35">
        <v>0</v>
      </c>
      <c r="F25" s="35">
        <v>0</v>
      </c>
      <c r="G25" s="81"/>
      <c r="H25" s="35">
        <v>0</v>
      </c>
      <c r="I25" s="35">
        <f t="shared" si="41"/>
        <v>0</v>
      </c>
      <c r="J25" s="35">
        <f t="shared" si="42"/>
        <v>0</v>
      </c>
      <c r="K25" s="35">
        <f t="shared" si="43"/>
        <v>0</v>
      </c>
      <c r="L25" s="35">
        <v>0</v>
      </c>
      <c r="M25" s="36">
        <v>0</v>
      </c>
      <c r="N25" s="35">
        <v>0</v>
      </c>
      <c r="O25" s="35"/>
      <c r="P25" s="36"/>
      <c r="Q25" s="35"/>
      <c r="R25" s="36">
        <v>0</v>
      </c>
      <c r="S25" s="36">
        <v>0</v>
      </c>
      <c r="T25" s="35"/>
      <c r="U25" s="35">
        <v>0</v>
      </c>
      <c r="V25" s="35">
        <v>0</v>
      </c>
      <c r="W25" s="35">
        <v>0</v>
      </c>
      <c r="X25" s="37">
        <f t="shared" si="44"/>
        <v>0</v>
      </c>
      <c r="Y25" s="37">
        <f t="shared" si="45"/>
        <v>0</v>
      </c>
      <c r="Z25" s="37">
        <f t="shared" si="46"/>
        <v>0</v>
      </c>
      <c r="AA25" s="35"/>
      <c r="AB25" s="81"/>
      <c r="AC25" s="35"/>
      <c r="AD25" s="35"/>
      <c r="AE25" s="81"/>
      <c r="AF25" s="81"/>
      <c r="AG25" s="81">
        <v>1849</v>
      </c>
      <c r="AH25" s="81">
        <f>1849-248</f>
        <v>1601</v>
      </c>
      <c r="AI25" s="35">
        <v>1601</v>
      </c>
      <c r="AJ25" s="35"/>
      <c r="AK25" s="81"/>
      <c r="AL25" s="81"/>
      <c r="AM25" s="81">
        <v>0</v>
      </c>
      <c r="AN25" s="81">
        <v>0</v>
      </c>
      <c r="AO25" s="35">
        <v>0</v>
      </c>
      <c r="AP25" s="35">
        <v>0</v>
      </c>
      <c r="AQ25" s="81">
        <v>0</v>
      </c>
      <c r="AR25" s="81">
        <v>0</v>
      </c>
      <c r="AS25" s="81">
        <v>0</v>
      </c>
      <c r="AT25" s="81">
        <v>0</v>
      </c>
      <c r="AU25" s="35">
        <v>0</v>
      </c>
      <c r="AV25" s="37">
        <f t="shared" si="47"/>
        <v>1849</v>
      </c>
      <c r="AW25" s="37">
        <f t="shared" si="48"/>
        <v>1601</v>
      </c>
      <c r="AX25" s="37">
        <f t="shared" si="49"/>
        <v>1601</v>
      </c>
      <c r="AY25" s="36"/>
      <c r="AZ25" s="36"/>
      <c r="BA25" s="35"/>
      <c r="BB25" s="36">
        <v>4000</v>
      </c>
      <c r="BC25" s="36">
        <v>4000</v>
      </c>
      <c r="BD25" s="35">
        <v>8000</v>
      </c>
      <c r="BE25" s="36">
        <v>0</v>
      </c>
      <c r="BF25" s="36">
        <v>0</v>
      </c>
      <c r="BG25" s="35"/>
      <c r="BH25" s="37">
        <f t="shared" si="50"/>
        <v>4000</v>
      </c>
      <c r="BI25" s="37">
        <f t="shared" si="51"/>
        <v>4000</v>
      </c>
      <c r="BJ25" s="37">
        <f t="shared" si="52"/>
        <v>8000</v>
      </c>
      <c r="BK25" s="35">
        <v>500</v>
      </c>
      <c r="BL25" s="36">
        <v>500</v>
      </c>
      <c r="BM25" s="81">
        <v>500</v>
      </c>
      <c r="BN25" s="81">
        <v>0</v>
      </c>
      <c r="BO25" s="81"/>
      <c r="BP25" s="81">
        <v>0</v>
      </c>
      <c r="BQ25" s="35">
        <v>3000</v>
      </c>
      <c r="BR25" s="81">
        <v>3000</v>
      </c>
      <c r="BS25" s="35">
        <v>3000</v>
      </c>
      <c r="BT25" s="35">
        <v>500</v>
      </c>
      <c r="BU25" s="36">
        <v>500</v>
      </c>
      <c r="BV25" s="35"/>
      <c r="BW25" s="35"/>
      <c r="BX25" s="36">
        <v>100</v>
      </c>
      <c r="BY25" s="35">
        <v>200</v>
      </c>
      <c r="BZ25" s="35"/>
      <c r="CA25" s="36">
        <v>500</v>
      </c>
      <c r="CB25" s="35">
        <v>200</v>
      </c>
      <c r="CC25" s="35">
        <v>0</v>
      </c>
      <c r="CD25" s="35"/>
      <c r="CE25" s="35">
        <v>0</v>
      </c>
      <c r="CF25" s="36"/>
      <c r="CG25" s="36"/>
      <c r="CH25" s="35"/>
      <c r="CI25" s="35">
        <v>500</v>
      </c>
      <c r="CJ25" s="36">
        <v>500</v>
      </c>
      <c r="CK25" s="35">
        <v>500</v>
      </c>
      <c r="CL25" s="35"/>
      <c r="CM25" s="36">
        <v>500</v>
      </c>
      <c r="CN25" s="35">
        <v>500</v>
      </c>
      <c r="CO25" s="36">
        <v>0</v>
      </c>
      <c r="CP25" s="36">
        <v>0</v>
      </c>
      <c r="CQ25" s="35"/>
      <c r="CR25" s="35">
        <v>0</v>
      </c>
      <c r="CS25" s="36">
        <v>0</v>
      </c>
      <c r="CT25" s="35">
        <v>0</v>
      </c>
      <c r="CU25" s="35">
        <v>0</v>
      </c>
      <c r="CV25" s="35">
        <v>0</v>
      </c>
      <c r="CW25" s="35">
        <v>0</v>
      </c>
      <c r="CX25" s="37">
        <f t="shared" si="53"/>
        <v>4500</v>
      </c>
      <c r="CY25" s="37">
        <f t="shared" si="54"/>
        <v>5600</v>
      </c>
      <c r="CZ25" s="37">
        <f t="shared" si="55"/>
        <v>4900</v>
      </c>
      <c r="DA25" s="35"/>
      <c r="DB25" s="36"/>
      <c r="DC25" s="35"/>
      <c r="DD25" s="35">
        <v>0</v>
      </c>
      <c r="DE25" s="36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f t="shared" si="56"/>
        <v>0</v>
      </c>
      <c r="DN25" s="35">
        <f t="shared" si="56"/>
        <v>0</v>
      </c>
      <c r="DO25" s="35">
        <f t="shared" si="56"/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7">
        <f t="shared" si="57"/>
        <v>0</v>
      </c>
      <c r="DW25" s="37">
        <f t="shared" si="58"/>
        <v>0</v>
      </c>
      <c r="DX25" s="37">
        <f t="shared" si="59"/>
        <v>0</v>
      </c>
      <c r="DY25" s="37">
        <f t="shared" si="60"/>
        <v>10349</v>
      </c>
      <c r="DZ25" s="37">
        <f t="shared" si="61"/>
        <v>11201</v>
      </c>
      <c r="EA25" s="37">
        <f t="shared" si="62"/>
        <v>14501</v>
      </c>
      <c r="EB25" s="34" t="s">
        <v>94</v>
      </c>
      <c r="EC25" s="23"/>
    </row>
    <row r="26" spans="1:133">
      <c r="A26" s="33" t="s">
        <v>95</v>
      </c>
      <c r="B26" s="34" t="s">
        <v>96</v>
      </c>
      <c r="C26" s="35">
        <v>0</v>
      </c>
      <c r="D26" s="35">
        <v>0</v>
      </c>
      <c r="E26" s="35">
        <v>0</v>
      </c>
      <c r="F26" s="35">
        <v>0</v>
      </c>
      <c r="G26" s="81"/>
      <c r="H26" s="35">
        <v>0</v>
      </c>
      <c r="I26" s="35">
        <f t="shared" si="41"/>
        <v>0</v>
      </c>
      <c r="J26" s="35">
        <f t="shared" si="42"/>
        <v>0</v>
      </c>
      <c r="K26" s="35">
        <f t="shared" si="43"/>
        <v>0</v>
      </c>
      <c r="L26" s="35">
        <v>0</v>
      </c>
      <c r="M26" s="36">
        <v>0</v>
      </c>
      <c r="N26" s="35">
        <v>0</v>
      </c>
      <c r="O26" s="35">
        <f>750+1250</f>
        <v>2000</v>
      </c>
      <c r="P26" s="36">
        <v>2000</v>
      </c>
      <c r="Q26" s="35">
        <f>750+0+1250</f>
        <v>2000</v>
      </c>
      <c r="R26" s="36">
        <v>13500</v>
      </c>
      <c r="S26" s="36">
        <v>13500</v>
      </c>
      <c r="T26" s="35">
        <f>11102+10000</f>
        <v>21102</v>
      </c>
      <c r="U26" s="35">
        <v>0</v>
      </c>
      <c r="V26" s="35">
        <v>0</v>
      </c>
      <c r="W26" s="35">
        <v>0</v>
      </c>
      <c r="X26" s="37">
        <f t="shared" si="44"/>
        <v>15500</v>
      </c>
      <c r="Y26" s="37">
        <f t="shared" si="45"/>
        <v>15500</v>
      </c>
      <c r="Z26" s="37">
        <f t="shared" si="46"/>
        <v>23102</v>
      </c>
      <c r="AA26" s="35">
        <f>56110+12264</f>
        <v>68374</v>
      </c>
      <c r="AB26" s="81">
        <f>68374+1000-615</f>
        <v>68759</v>
      </c>
      <c r="AC26" s="35">
        <f>60625+1079</f>
        <v>61704</v>
      </c>
      <c r="AD26" s="35"/>
      <c r="AE26" s="81"/>
      <c r="AF26" s="81">
        <f>400+450</f>
        <v>850</v>
      </c>
      <c r="AG26" s="81">
        <v>35710</v>
      </c>
      <c r="AH26" s="81">
        <f>35710+2400</f>
        <v>38110</v>
      </c>
      <c r="AI26" s="35">
        <f>33210+4519</f>
        <v>37729</v>
      </c>
      <c r="AJ26" s="35">
        <v>1500</v>
      </c>
      <c r="AK26" s="81">
        <v>1500</v>
      </c>
      <c r="AL26" s="81">
        <v>3000</v>
      </c>
      <c r="AM26" s="81"/>
      <c r="AN26" s="81"/>
      <c r="AO26" s="35">
        <v>1150</v>
      </c>
      <c r="AP26" s="35"/>
      <c r="AQ26" s="81"/>
      <c r="AR26" s="81"/>
      <c r="AS26" s="81"/>
      <c r="AT26" s="81">
        <f>750+250</f>
        <v>1000</v>
      </c>
      <c r="AU26" s="35"/>
      <c r="AV26" s="37">
        <f t="shared" si="47"/>
        <v>105584</v>
      </c>
      <c r="AW26" s="37">
        <f t="shared" si="48"/>
        <v>109369</v>
      </c>
      <c r="AX26" s="37">
        <f t="shared" si="49"/>
        <v>104433</v>
      </c>
      <c r="AY26" s="36">
        <v>13650</v>
      </c>
      <c r="AZ26" s="36">
        <v>13650</v>
      </c>
      <c r="BA26" s="35">
        <f>5000+5000</f>
        <v>10000</v>
      </c>
      <c r="BB26" s="36">
        <v>7000</v>
      </c>
      <c r="BC26" s="36">
        <v>7000</v>
      </c>
      <c r="BD26" s="35">
        <v>6500</v>
      </c>
      <c r="BE26" s="36">
        <v>250</v>
      </c>
      <c r="BF26" s="36">
        <v>250</v>
      </c>
      <c r="BG26" s="35">
        <v>250</v>
      </c>
      <c r="BH26" s="37">
        <f t="shared" si="50"/>
        <v>20900</v>
      </c>
      <c r="BI26" s="37">
        <f t="shared" si="51"/>
        <v>20900</v>
      </c>
      <c r="BJ26" s="37">
        <f t="shared" si="52"/>
        <v>16750</v>
      </c>
      <c r="BK26" s="35">
        <v>5700</v>
      </c>
      <c r="BL26" s="36">
        <v>5700</v>
      </c>
      <c r="BM26" s="81">
        <v>7000</v>
      </c>
      <c r="BN26" s="81">
        <v>0</v>
      </c>
      <c r="BO26" s="81"/>
      <c r="BP26" s="81">
        <v>0</v>
      </c>
      <c r="BQ26" s="35">
        <v>30000</v>
      </c>
      <c r="BR26" s="81">
        <v>30000</v>
      </c>
      <c r="BS26" s="35">
        <f>25000+5000</f>
        <v>30000</v>
      </c>
      <c r="BT26" s="35">
        <v>2950</v>
      </c>
      <c r="BU26" s="36">
        <v>2950</v>
      </c>
      <c r="BV26" s="35">
        <v>2950</v>
      </c>
      <c r="BW26" s="35">
        <v>6000</v>
      </c>
      <c r="BX26" s="36">
        <v>6000</v>
      </c>
      <c r="BY26" s="35">
        <v>6000</v>
      </c>
      <c r="BZ26" s="35"/>
      <c r="CA26" s="36">
        <v>2950</v>
      </c>
      <c r="CB26" s="35">
        <v>3450</v>
      </c>
      <c r="CC26" s="35">
        <v>0</v>
      </c>
      <c r="CD26" s="35"/>
      <c r="CE26" s="35">
        <v>0</v>
      </c>
      <c r="CF26" s="36">
        <v>3600</v>
      </c>
      <c r="CG26" s="36">
        <v>3600</v>
      </c>
      <c r="CH26" s="35">
        <v>3600</v>
      </c>
      <c r="CI26" s="35">
        <v>4950</v>
      </c>
      <c r="CJ26" s="36">
        <v>4950</v>
      </c>
      <c r="CK26" s="35">
        <v>4950</v>
      </c>
      <c r="CL26" s="35"/>
      <c r="CM26" s="36">
        <v>3200</v>
      </c>
      <c r="CN26" s="35">
        <v>3750</v>
      </c>
      <c r="CO26" s="36">
        <v>1750</v>
      </c>
      <c r="CP26" s="36">
        <v>1750</v>
      </c>
      <c r="CQ26" s="35">
        <v>2200</v>
      </c>
      <c r="CR26" s="35">
        <v>0</v>
      </c>
      <c r="CS26" s="36">
        <v>0</v>
      </c>
      <c r="CT26" s="35">
        <v>0</v>
      </c>
      <c r="CU26" s="35">
        <v>0</v>
      </c>
      <c r="CV26" s="35">
        <v>0</v>
      </c>
      <c r="CW26" s="35">
        <v>0</v>
      </c>
      <c r="CX26" s="37">
        <f t="shared" si="53"/>
        <v>54950</v>
      </c>
      <c r="CY26" s="37">
        <f t="shared" si="54"/>
        <v>61100</v>
      </c>
      <c r="CZ26" s="37">
        <f t="shared" si="55"/>
        <v>63900</v>
      </c>
      <c r="DA26" s="35">
        <v>3200</v>
      </c>
      <c r="DB26" s="36">
        <v>3200</v>
      </c>
      <c r="DC26" s="35">
        <v>3200</v>
      </c>
      <c r="DD26" s="35"/>
      <c r="DE26" s="36"/>
      <c r="DF26" s="35"/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f t="shared" si="56"/>
        <v>3200</v>
      </c>
      <c r="DN26" s="35">
        <f t="shared" si="56"/>
        <v>3200</v>
      </c>
      <c r="DO26" s="35">
        <f t="shared" si="56"/>
        <v>3200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7">
        <f t="shared" si="57"/>
        <v>0</v>
      </c>
      <c r="DW26" s="37">
        <f t="shared" si="58"/>
        <v>0</v>
      </c>
      <c r="DX26" s="37">
        <f t="shared" si="59"/>
        <v>0</v>
      </c>
      <c r="DY26" s="37">
        <f t="shared" si="60"/>
        <v>200134</v>
      </c>
      <c r="DZ26" s="37">
        <f t="shared" si="61"/>
        <v>210069</v>
      </c>
      <c r="EA26" s="37">
        <f t="shared" si="62"/>
        <v>211385</v>
      </c>
      <c r="EB26" s="34" t="s">
        <v>96</v>
      </c>
      <c r="EC26" s="23"/>
    </row>
    <row r="27" spans="1:133">
      <c r="A27" s="33" t="s">
        <v>97</v>
      </c>
      <c r="B27" s="34" t="s">
        <v>98</v>
      </c>
      <c r="C27" s="35">
        <v>0</v>
      </c>
      <c r="D27" s="35">
        <v>0</v>
      </c>
      <c r="E27" s="35">
        <v>0</v>
      </c>
      <c r="F27" s="35">
        <v>0</v>
      </c>
      <c r="G27" s="81"/>
      <c r="H27" s="35">
        <v>0</v>
      </c>
      <c r="I27" s="35">
        <f t="shared" si="41"/>
        <v>0</v>
      </c>
      <c r="J27" s="35">
        <f t="shared" si="42"/>
        <v>0</v>
      </c>
      <c r="K27" s="35">
        <f t="shared" si="43"/>
        <v>0</v>
      </c>
      <c r="L27" s="35"/>
      <c r="M27" s="36"/>
      <c r="N27" s="35"/>
      <c r="O27" s="35"/>
      <c r="P27" s="36"/>
      <c r="Q27" s="35"/>
      <c r="R27" s="36"/>
      <c r="S27" s="36"/>
      <c r="T27" s="35"/>
      <c r="U27" s="35">
        <v>0</v>
      </c>
      <c r="V27" s="35">
        <v>0</v>
      </c>
      <c r="W27" s="35">
        <v>0</v>
      </c>
      <c r="X27" s="37">
        <f t="shared" si="44"/>
        <v>0</v>
      </c>
      <c r="Y27" s="37">
        <f t="shared" si="45"/>
        <v>0</v>
      </c>
      <c r="Z27" s="37">
        <f t="shared" si="46"/>
        <v>0</v>
      </c>
      <c r="AA27" s="35">
        <f>30066+58</f>
        <v>30124</v>
      </c>
      <c r="AB27" s="81">
        <f>30124+1000+67015-1184</f>
        <v>96955</v>
      </c>
      <c r="AC27" s="35">
        <f>44114+143</f>
        <v>44257</v>
      </c>
      <c r="AD27" s="35">
        <f>1534+489</f>
        <v>2023</v>
      </c>
      <c r="AE27" s="81">
        <f>2023+8780-600</f>
        <v>10203</v>
      </c>
      <c r="AF27" s="81">
        <f>500+832+1161</f>
        <v>2493</v>
      </c>
      <c r="AG27" s="81">
        <f>18512+12422</f>
        <v>30934</v>
      </c>
      <c r="AH27" s="81">
        <f>30934+3715+338027-10916+500</f>
        <v>362260</v>
      </c>
      <c r="AI27" s="35">
        <f>10300+3998</f>
        <v>14298</v>
      </c>
      <c r="AJ27" s="35">
        <f>5000+8121</f>
        <v>13121</v>
      </c>
      <c r="AK27" s="81">
        <f>13121-1000+5000</f>
        <v>17121</v>
      </c>
      <c r="AL27" s="81">
        <v>18936</v>
      </c>
      <c r="AM27" s="81">
        <v>400</v>
      </c>
      <c r="AN27" s="81">
        <f>400-400</f>
        <v>0</v>
      </c>
      <c r="AO27" s="35">
        <v>800</v>
      </c>
      <c r="AP27" s="35">
        <f>400+70</f>
        <v>470</v>
      </c>
      <c r="AQ27" s="81">
        <v>470</v>
      </c>
      <c r="AR27" s="81"/>
      <c r="AS27" s="81"/>
      <c r="AT27" s="81">
        <f>2520+0</f>
        <v>2520</v>
      </c>
      <c r="AU27" s="35"/>
      <c r="AV27" s="37">
        <f t="shared" si="47"/>
        <v>77072</v>
      </c>
      <c r="AW27" s="37">
        <f t="shared" si="48"/>
        <v>489529</v>
      </c>
      <c r="AX27" s="37">
        <f t="shared" si="49"/>
        <v>80784</v>
      </c>
      <c r="AY27" s="36"/>
      <c r="AZ27" s="36"/>
      <c r="BA27" s="35"/>
      <c r="BB27" s="36"/>
      <c r="BC27" s="36"/>
      <c r="BD27" s="35"/>
      <c r="BE27" s="36"/>
      <c r="BF27" s="36"/>
      <c r="BG27" s="35"/>
      <c r="BH27" s="37">
        <f t="shared" si="50"/>
        <v>0</v>
      </c>
      <c r="BI27" s="37">
        <f t="shared" si="51"/>
        <v>0</v>
      </c>
      <c r="BJ27" s="37">
        <f t="shared" si="52"/>
        <v>0</v>
      </c>
      <c r="BK27" s="35"/>
      <c r="BL27" s="36"/>
      <c r="BM27" s="81"/>
      <c r="BN27" s="81">
        <v>0</v>
      </c>
      <c r="BO27" s="81"/>
      <c r="BP27" s="81">
        <v>0</v>
      </c>
      <c r="BQ27" s="35">
        <f>1000+2000</f>
        <v>3000</v>
      </c>
      <c r="BR27" s="81">
        <v>3000</v>
      </c>
      <c r="BS27" s="35">
        <v>3000</v>
      </c>
      <c r="BT27" s="35"/>
      <c r="BU27" s="36"/>
      <c r="BV27" s="35"/>
      <c r="BW27" s="35"/>
      <c r="BX27" s="36"/>
      <c r="BY27" s="35">
        <v>500</v>
      </c>
      <c r="BZ27" s="35"/>
      <c r="CA27" s="36"/>
      <c r="CB27" s="35"/>
      <c r="CC27" s="35">
        <v>0</v>
      </c>
      <c r="CD27" s="35"/>
      <c r="CE27" s="35">
        <v>0</v>
      </c>
      <c r="CF27" s="36"/>
      <c r="CG27" s="36"/>
      <c r="CH27" s="35"/>
      <c r="CI27" s="35"/>
      <c r="CJ27" s="36"/>
      <c r="CK27" s="35"/>
      <c r="CL27" s="35"/>
      <c r="CM27" s="36"/>
      <c r="CN27" s="35"/>
      <c r="CO27" s="36">
        <v>2000</v>
      </c>
      <c r="CP27" s="36">
        <v>2000</v>
      </c>
      <c r="CQ27" s="35">
        <v>2500</v>
      </c>
      <c r="CR27" s="35">
        <v>0</v>
      </c>
      <c r="CS27" s="36">
        <v>0</v>
      </c>
      <c r="CT27" s="35"/>
      <c r="CU27" s="35">
        <v>0</v>
      </c>
      <c r="CV27" s="35">
        <v>0</v>
      </c>
      <c r="CW27" s="35">
        <v>0</v>
      </c>
      <c r="CX27" s="37">
        <f t="shared" si="53"/>
        <v>5000</v>
      </c>
      <c r="CY27" s="37">
        <f t="shared" si="54"/>
        <v>5000</v>
      </c>
      <c r="CZ27" s="37">
        <f t="shared" si="55"/>
        <v>6000</v>
      </c>
      <c r="DA27" s="35">
        <f>700+700</f>
        <v>1400</v>
      </c>
      <c r="DB27" s="36">
        <v>1400</v>
      </c>
      <c r="DC27" s="35">
        <v>1400</v>
      </c>
      <c r="DD27" s="35">
        <v>165</v>
      </c>
      <c r="DE27" s="36">
        <v>165</v>
      </c>
      <c r="DF27" s="35"/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f t="shared" si="56"/>
        <v>1565</v>
      </c>
      <c r="DN27" s="35">
        <f t="shared" si="56"/>
        <v>1565</v>
      </c>
      <c r="DO27" s="35">
        <f t="shared" si="56"/>
        <v>1400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7">
        <f t="shared" si="57"/>
        <v>0</v>
      </c>
      <c r="DW27" s="37">
        <f t="shared" si="58"/>
        <v>0</v>
      </c>
      <c r="DX27" s="37">
        <f t="shared" si="59"/>
        <v>0</v>
      </c>
      <c r="DY27" s="37">
        <f t="shared" si="60"/>
        <v>83637</v>
      </c>
      <c r="DZ27" s="37">
        <f t="shared" si="61"/>
        <v>496094</v>
      </c>
      <c r="EA27" s="37">
        <f t="shared" si="62"/>
        <v>88184</v>
      </c>
      <c r="EB27" s="34" t="s">
        <v>98</v>
      </c>
    </row>
    <row r="28" spans="1:133">
      <c r="A28" s="33" t="s">
        <v>99</v>
      </c>
      <c r="B28" s="34" t="s">
        <v>100</v>
      </c>
      <c r="C28" s="35">
        <v>0</v>
      </c>
      <c r="D28" s="35">
        <v>0</v>
      </c>
      <c r="E28" s="35">
        <v>0</v>
      </c>
      <c r="F28" s="35">
        <v>0</v>
      </c>
      <c r="G28" s="81">
        <f>27338+60200-31045</f>
        <v>56493</v>
      </c>
      <c r="H28" s="35">
        <v>0</v>
      </c>
      <c r="I28" s="35">
        <f t="shared" si="41"/>
        <v>0</v>
      </c>
      <c r="J28" s="35">
        <f t="shared" si="42"/>
        <v>56493</v>
      </c>
      <c r="K28" s="35">
        <f t="shared" si="43"/>
        <v>0</v>
      </c>
      <c r="L28" s="35">
        <f>13000+22079+20620</f>
        <v>55699</v>
      </c>
      <c r="M28" s="36">
        <f>55699+7000-10070-10004</f>
        <v>42625</v>
      </c>
      <c r="N28" s="35">
        <f>15000+3000+5000+11412+10000</f>
        <v>44412</v>
      </c>
      <c r="O28" s="35">
        <f>2300+0+8000</f>
        <v>10300</v>
      </c>
      <c r="P28" s="36">
        <v>10300</v>
      </c>
      <c r="Q28" s="35">
        <f>800+8000+1000+2000</f>
        <v>11800</v>
      </c>
      <c r="R28" s="36">
        <v>10000</v>
      </c>
      <c r="S28" s="36">
        <v>10000</v>
      </c>
      <c r="T28" s="36">
        <f>3780+5000</f>
        <v>8780</v>
      </c>
      <c r="U28" s="35">
        <v>0</v>
      </c>
      <c r="V28" s="35">
        <v>0</v>
      </c>
      <c r="W28" s="35">
        <v>0</v>
      </c>
      <c r="X28" s="37">
        <f t="shared" si="44"/>
        <v>75999</v>
      </c>
      <c r="Y28" s="37">
        <f t="shared" si="45"/>
        <v>62925</v>
      </c>
      <c r="Z28" s="37">
        <f t="shared" si="46"/>
        <v>64992</v>
      </c>
      <c r="AA28" s="35">
        <f>276329+50646</f>
        <v>326975</v>
      </c>
      <c r="AB28" s="81">
        <f>326975+2075+1739+34380+504+710+4000-9883+119313-19040</f>
        <v>460773</v>
      </c>
      <c r="AC28" s="35">
        <f>414574+32234</f>
        <v>446808</v>
      </c>
      <c r="AD28" s="35">
        <f>25546+16907</f>
        <v>42453</v>
      </c>
      <c r="AE28" s="81">
        <f>42453+218-711-5000</f>
        <v>36960</v>
      </c>
      <c r="AF28" s="81">
        <f>2500+58211+27359</f>
        <v>88070</v>
      </c>
      <c r="AG28" s="81">
        <f>321827+106924</f>
        <v>428751</v>
      </c>
      <c r="AH28" s="81">
        <f>428751+7027-16861+16058+7896+16114+21401+117226+29652+780+5800+8663+26249</f>
        <v>668756</v>
      </c>
      <c r="AI28" s="35">
        <f>277608+177127</f>
        <v>454735</v>
      </c>
      <c r="AJ28" s="35">
        <f>40000+20643</f>
        <v>60643</v>
      </c>
      <c r="AK28" s="81">
        <f>60643+3000+5000+1593+12000</f>
        <v>82236</v>
      </c>
      <c r="AL28" s="81">
        <f>54670+32586</f>
        <v>87256</v>
      </c>
      <c r="AM28" s="81">
        <v>1298</v>
      </c>
      <c r="AN28" s="81">
        <f>1298+7090</f>
        <v>8388</v>
      </c>
      <c r="AO28" s="35">
        <f>314+6850</f>
        <v>7164</v>
      </c>
      <c r="AP28" s="35">
        <f>40911+4364+25253</f>
        <v>70528</v>
      </c>
      <c r="AQ28" s="81">
        <f>70528-2211-600+21319-1205</f>
        <v>87831</v>
      </c>
      <c r="AR28" s="81">
        <f>48918+45198</f>
        <v>94116</v>
      </c>
      <c r="AS28" s="81">
        <v>4500</v>
      </c>
      <c r="AT28" s="81">
        <f>4500+600+2364+1356</f>
        <v>8820</v>
      </c>
      <c r="AU28" s="35">
        <v>5000</v>
      </c>
      <c r="AV28" s="37">
        <f t="shared" si="47"/>
        <v>935148</v>
      </c>
      <c r="AW28" s="37">
        <f t="shared" si="48"/>
        <v>1353764</v>
      </c>
      <c r="AX28" s="37">
        <f t="shared" si="49"/>
        <v>1183149</v>
      </c>
      <c r="AY28" s="36">
        <v>16000</v>
      </c>
      <c r="AZ28" s="36">
        <v>16000</v>
      </c>
      <c r="BA28" s="35">
        <f>10000+6000</f>
        <v>16000</v>
      </c>
      <c r="BB28" s="36">
        <v>25000</v>
      </c>
      <c r="BC28" s="38">
        <f>25000-50</f>
        <v>24950</v>
      </c>
      <c r="BD28" s="35">
        <v>17000</v>
      </c>
      <c r="BE28" s="36">
        <v>2500</v>
      </c>
      <c r="BF28" s="36">
        <v>2500</v>
      </c>
      <c r="BG28" s="35">
        <v>2000</v>
      </c>
      <c r="BH28" s="37">
        <f t="shared" si="50"/>
        <v>43500</v>
      </c>
      <c r="BI28" s="37">
        <f t="shared" si="51"/>
        <v>43450</v>
      </c>
      <c r="BJ28" s="37">
        <f t="shared" si="52"/>
        <v>35000</v>
      </c>
      <c r="BK28" s="35">
        <v>3565</v>
      </c>
      <c r="BL28" s="36">
        <f>3565+4006+6000</f>
        <v>13571</v>
      </c>
      <c r="BM28" s="35">
        <v>8571</v>
      </c>
      <c r="BN28" s="35">
        <v>0</v>
      </c>
      <c r="BO28" s="35">
        <v>0</v>
      </c>
      <c r="BP28" s="35">
        <v>0</v>
      </c>
      <c r="BQ28" s="35">
        <f>28991+5000</f>
        <v>33991</v>
      </c>
      <c r="BR28" s="81">
        <f>33991+5000+2000+5000</f>
        <v>45991</v>
      </c>
      <c r="BS28" s="35">
        <f>15000+10000</f>
        <v>25000</v>
      </c>
      <c r="BT28" s="35">
        <f>13550+10000</f>
        <v>23550</v>
      </c>
      <c r="BU28" s="36">
        <v>23550</v>
      </c>
      <c r="BV28" s="35">
        <f>15000+10000</f>
        <v>25000</v>
      </c>
      <c r="BW28" s="35">
        <f>16950+25629</f>
        <v>42579</v>
      </c>
      <c r="BX28" s="36">
        <f>42579-4000-100</f>
        <v>38479</v>
      </c>
      <c r="BY28" s="35">
        <f>26250+45998</f>
        <v>72248</v>
      </c>
      <c r="BZ28" s="35"/>
      <c r="CA28" s="36">
        <v>12239</v>
      </c>
      <c r="CB28" s="35">
        <f>40100+10000</f>
        <v>50100</v>
      </c>
      <c r="CC28" s="35">
        <v>0</v>
      </c>
      <c r="CD28" s="35"/>
      <c r="CE28" s="35">
        <v>0</v>
      </c>
      <c r="CF28" s="36">
        <v>33597</v>
      </c>
      <c r="CG28" s="36">
        <v>33597</v>
      </c>
      <c r="CH28" s="35">
        <f>1010+24453</f>
        <v>25463</v>
      </c>
      <c r="CI28" s="35">
        <v>12000</v>
      </c>
      <c r="CJ28" s="36">
        <v>12000</v>
      </c>
      <c r="CK28" s="35">
        <v>26830</v>
      </c>
      <c r="CL28" s="35"/>
      <c r="CM28" s="36">
        <v>12000</v>
      </c>
      <c r="CN28" s="35">
        <f>53480+10000</f>
        <v>63480</v>
      </c>
      <c r="CO28" s="36">
        <v>17900</v>
      </c>
      <c r="CP28" s="36">
        <v>17900</v>
      </c>
      <c r="CQ28" s="35">
        <v>2500</v>
      </c>
      <c r="CR28" s="35">
        <v>0</v>
      </c>
      <c r="CS28" s="38">
        <f>42384+0+16667+16484-2+17324-1</f>
        <v>92856</v>
      </c>
      <c r="CT28" s="35">
        <v>25000</v>
      </c>
      <c r="CU28" s="35"/>
      <c r="CV28" s="35"/>
      <c r="CW28" s="35"/>
      <c r="CX28" s="37">
        <f t="shared" si="53"/>
        <v>167182</v>
      </c>
      <c r="CY28" s="37">
        <f t="shared" si="54"/>
        <v>302183</v>
      </c>
      <c r="CZ28" s="37">
        <f t="shared" si="55"/>
        <v>324192</v>
      </c>
      <c r="DA28" s="35">
        <f>7500+17000</f>
        <v>24500</v>
      </c>
      <c r="DB28" s="36">
        <f>24500+5000</f>
        <v>29500</v>
      </c>
      <c r="DC28" s="35">
        <f>2000+18000</f>
        <v>20000</v>
      </c>
      <c r="DD28" s="35">
        <v>29834</v>
      </c>
      <c r="DE28" s="38">
        <f>29834-505-5+816+28423</f>
        <v>58563</v>
      </c>
      <c r="DF28" s="35">
        <v>32694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f t="shared" si="56"/>
        <v>54334</v>
      </c>
      <c r="DN28" s="35">
        <f t="shared" si="56"/>
        <v>88063</v>
      </c>
      <c r="DO28" s="35">
        <f t="shared" si="56"/>
        <v>52694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7">
        <f t="shared" si="57"/>
        <v>0</v>
      </c>
      <c r="DW28" s="37">
        <f t="shared" si="58"/>
        <v>0</v>
      </c>
      <c r="DX28" s="37">
        <f t="shared" si="59"/>
        <v>0</v>
      </c>
      <c r="DY28" s="37">
        <f t="shared" si="60"/>
        <v>1276163</v>
      </c>
      <c r="DZ28" s="37">
        <f t="shared" si="61"/>
        <v>1906878</v>
      </c>
      <c r="EA28" s="37">
        <f t="shared" si="62"/>
        <v>1660027</v>
      </c>
      <c r="EB28" s="34" t="s">
        <v>100</v>
      </c>
    </row>
    <row r="29" spans="1:133">
      <c r="A29" s="33" t="s">
        <v>101</v>
      </c>
      <c r="B29" s="34" t="s">
        <v>102</v>
      </c>
      <c r="C29" s="35">
        <v>0</v>
      </c>
      <c r="D29" s="35">
        <v>0</v>
      </c>
      <c r="E29" s="35">
        <v>0</v>
      </c>
      <c r="F29" s="35">
        <v>0</v>
      </c>
      <c r="G29" s="81">
        <f>9445+28295-16165</f>
        <v>21575</v>
      </c>
      <c r="H29" s="35">
        <v>0</v>
      </c>
      <c r="I29" s="35">
        <f t="shared" si="41"/>
        <v>0</v>
      </c>
      <c r="J29" s="35">
        <f t="shared" si="42"/>
        <v>21575</v>
      </c>
      <c r="K29" s="35">
        <f t="shared" si="43"/>
        <v>0</v>
      </c>
      <c r="L29" s="35">
        <f>14253+0+4800</f>
        <v>19053</v>
      </c>
      <c r="M29" s="36">
        <v>19053</v>
      </c>
      <c r="N29" s="35">
        <f>3000+3000+14253+6835</f>
        <v>27088</v>
      </c>
      <c r="O29" s="35">
        <v>1000</v>
      </c>
      <c r="P29" s="36">
        <v>1000</v>
      </c>
      <c r="Q29" s="35">
        <f>1000+0</f>
        <v>1000</v>
      </c>
      <c r="R29" s="36"/>
      <c r="S29" s="36"/>
      <c r="T29" s="35"/>
      <c r="U29" s="35">
        <v>0</v>
      </c>
      <c r="V29" s="35">
        <v>0</v>
      </c>
      <c r="W29" s="35">
        <v>0</v>
      </c>
      <c r="X29" s="37">
        <f t="shared" si="44"/>
        <v>20053</v>
      </c>
      <c r="Y29" s="37">
        <f t="shared" si="45"/>
        <v>20053</v>
      </c>
      <c r="Z29" s="37">
        <f t="shared" si="46"/>
        <v>28088</v>
      </c>
      <c r="AA29" s="35">
        <f>516980+43407</f>
        <v>560387</v>
      </c>
      <c r="AB29" s="81">
        <f>560387-3000-16454</f>
        <v>540933</v>
      </c>
      <c r="AC29" s="35">
        <f>530000+98300</f>
        <v>628300</v>
      </c>
      <c r="AD29" s="35">
        <f>76483+43079</f>
        <v>119562</v>
      </c>
      <c r="AE29" s="81">
        <f>119562-3211-3170+1600</f>
        <v>114781</v>
      </c>
      <c r="AF29" s="81">
        <f>3000+77519+27213</f>
        <v>107732</v>
      </c>
      <c r="AG29" s="81">
        <f>435314+175037</f>
        <v>610351</v>
      </c>
      <c r="AH29" s="81">
        <f>610351-20131-30200+5917-38950</f>
        <v>526987</v>
      </c>
      <c r="AI29" s="35">
        <f>335484+56800+163994</f>
        <v>556278</v>
      </c>
      <c r="AJ29" s="35">
        <f>74905+31993</f>
        <v>106898</v>
      </c>
      <c r="AK29" s="81">
        <f>106898-7400+2000-4252-12522</f>
        <v>84724</v>
      </c>
      <c r="AL29" s="81">
        <f>50000+39328</f>
        <v>89328</v>
      </c>
      <c r="AM29" s="81"/>
      <c r="AN29" s="81"/>
      <c r="AO29" s="35">
        <v>9600</v>
      </c>
      <c r="AP29" s="35">
        <f>33612+16613</f>
        <v>50225</v>
      </c>
      <c r="AQ29" s="81">
        <f>50225+1005</f>
        <v>51230</v>
      </c>
      <c r="AR29" s="81">
        <f>6751+10653</f>
        <v>17404</v>
      </c>
      <c r="AS29" s="81">
        <v>5800</v>
      </c>
      <c r="AT29" s="81">
        <f>5800+16000+9835+4156</f>
        <v>35791</v>
      </c>
      <c r="AU29" s="35">
        <f>23000+4919</f>
        <v>27919</v>
      </c>
      <c r="AV29" s="37">
        <f t="shared" si="47"/>
        <v>1453223</v>
      </c>
      <c r="AW29" s="37">
        <f t="shared" si="48"/>
        <v>1354446</v>
      </c>
      <c r="AX29" s="37">
        <f t="shared" si="49"/>
        <v>1436561</v>
      </c>
      <c r="AY29" s="36">
        <v>22000</v>
      </c>
      <c r="AZ29" s="36">
        <v>22000</v>
      </c>
      <c r="BA29" s="35">
        <v>20000</v>
      </c>
      <c r="BB29" s="36"/>
      <c r="BC29" s="36"/>
      <c r="BD29" s="35"/>
      <c r="BE29" s="36"/>
      <c r="BF29" s="36"/>
      <c r="BG29" s="35"/>
      <c r="BH29" s="37">
        <f t="shared" si="50"/>
        <v>22000</v>
      </c>
      <c r="BI29" s="37">
        <f t="shared" si="51"/>
        <v>22000</v>
      </c>
      <c r="BJ29" s="37">
        <f t="shared" si="52"/>
        <v>20000</v>
      </c>
      <c r="BK29" s="35">
        <f>48344+3468</f>
        <v>51812</v>
      </c>
      <c r="BL29" s="36">
        <v>51812</v>
      </c>
      <c r="BM29" s="35">
        <f>45161+19953</f>
        <v>65114</v>
      </c>
      <c r="BN29" s="35">
        <v>0</v>
      </c>
      <c r="BO29" s="35">
        <v>0</v>
      </c>
      <c r="BP29" s="35">
        <v>0</v>
      </c>
      <c r="BQ29" s="36">
        <f>54000+8000</f>
        <v>62000</v>
      </c>
      <c r="BR29" s="81">
        <f>62000-300-5000-5000</f>
        <v>51700</v>
      </c>
      <c r="BS29" s="35">
        <v>64233</v>
      </c>
      <c r="BT29" s="35">
        <f>15000+20000</f>
        <v>35000</v>
      </c>
      <c r="BU29" s="36">
        <v>35000</v>
      </c>
      <c r="BV29" s="35">
        <v>35000</v>
      </c>
      <c r="BW29" s="35">
        <f>10000+4000</f>
        <v>14000</v>
      </c>
      <c r="BX29" s="36">
        <v>14000</v>
      </c>
      <c r="BY29" s="35">
        <f>10000+30000</f>
        <v>40000</v>
      </c>
      <c r="BZ29" s="35"/>
      <c r="CA29" s="36">
        <f>7000-500</f>
        <v>6500</v>
      </c>
      <c r="CB29" s="35">
        <f>30000+5000</f>
        <v>35000</v>
      </c>
      <c r="CC29" s="35">
        <v>0</v>
      </c>
      <c r="CD29" s="35"/>
      <c r="CE29" s="35">
        <v>0</v>
      </c>
      <c r="CF29" s="36">
        <v>12000</v>
      </c>
      <c r="CG29" s="36">
        <v>12000</v>
      </c>
      <c r="CH29" s="35">
        <f>2000+24000</f>
        <v>26000</v>
      </c>
      <c r="CI29" s="35">
        <v>18000</v>
      </c>
      <c r="CJ29" s="36">
        <v>18000</v>
      </c>
      <c r="CK29" s="35">
        <v>23000</v>
      </c>
      <c r="CL29" s="35"/>
      <c r="CM29" s="36">
        <v>10000</v>
      </c>
      <c r="CN29" s="35">
        <f>45000+10000</f>
        <v>55000</v>
      </c>
      <c r="CO29" s="36">
        <v>6400</v>
      </c>
      <c r="CP29" s="36">
        <v>6400</v>
      </c>
      <c r="CQ29" s="35"/>
      <c r="CR29" s="35">
        <v>0</v>
      </c>
      <c r="CS29" s="36">
        <v>0</v>
      </c>
      <c r="CT29" s="35">
        <v>16000</v>
      </c>
      <c r="CU29" s="35">
        <v>0</v>
      </c>
      <c r="CV29" s="35">
        <v>0</v>
      </c>
      <c r="CW29" s="35">
        <v>0</v>
      </c>
      <c r="CX29" s="37">
        <f t="shared" si="53"/>
        <v>199212</v>
      </c>
      <c r="CY29" s="37">
        <f t="shared" si="54"/>
        <v>205412</v>
      </c>
      <c r="CZ29" s="37">
        <f t="shared" si="55"/>
        <v>359347</v>
      </c>
      <c r="DA29" s="35">
        <f>8000+17000</f>
        <v>25000</v>
      </c>
      <c r="DB29" s="36">
        <f>25000+5000</f>
        <v>30000</v>
      </c>
      <c r="DC29" s="35">
        <f>2000+15000</f>
        <v>17000</v>
      </c>
      <c r="DD29" s="35"/>
      <c r="DE29" s="36"/>
      <c r="DF29" s="35"/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f t="shared" si="56"/>
        <v>25000</v>
      </c>
      <c r="DN29" s="35">
        <f t="shared" si="56"/>
        <v>30000</v>
      </c>
      <c r="DO29" s="35">
        <f t="shared" si="56"/>
        <v>17000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7">
        <f t="shared" si="57"/>
        <v>0</v>
      </c>
      <c r="DW29" s="37">
        <f t="shared" si="58"/>
        <v>0</v>
      </c>
      <c r="DX29" s="37">
        <f t="shared" si="59"/>
        <v>0</v>
      </c>
      <c r="DY29" s="37">
        <f t="shared" si="60"/>
        <v>1719488</v>
      </c>
      <c r="DZ29" s="37">
        <f t="shared" si="61"/>
        <v>1653486</v>
      </c>
      <c r="EA29" s="37">
        <f t="shared" si="62"/>
        <v>1860996</v>
      </c>
      <c r="EB29" s="34" t="s">
        <v>102</v>
      </c>
    </row>
    <row r="30" spans="1:133">
      <c r="A30" s="33" t="s">
        <v>103</v>
      </c>
      <c r="B30" s="34" t="s">
        <v>104</v>
      </c>
      <c r="C30" s="35">
        <v>0</v>
      </c>
      <c r="D30" s="35">
        <v>0</v>
      </c>
      <c r="E30" s="35">
        <v>0</v>
      </c>
      <c r="F30" s="35"/>
      <c r="G30" s="81">
        <f>4830+28250-12705-575</f>
        <v>19800</v>
      </c>
      <c r="H30" s="35">
        <v>1574</v>
      </c>
      <c r="I30" s="35">
        <f t="shared" si="41"/>
        <v>0</v>
      </c>
      <c r="J30" s="35">
        <f t="shared" si="42"/>
        <v>19800</v>
      </c>
      <c r="K30" s="35">
        <f t="shared" si="43"/>
        <v>1574</v>
      </c>
      <c r="L30" s="35">
        <f>29801+0+12000+9034</f>
        <v>50835</v>
      </c>
      <c r="M30" s="36">
        <f>50835-7000+10004</f>
        <v>53839</v>
      </c>
      <c r="N30" s="35">
        <f>34658+7099+4008+6035+11445+5000</f>
        <v>68245</v>
      </c>
      <c r="O30" s="35">
        <f>5000+5019+0+1200+1000</f>
        <v>12219</v>
      </c>
      <c r="P30" s="36">
        <v>12219</v>
      </c>
      <c r="Q30" s="35">
        <f>1000+5000+4000+1283</f>
        <v>11283</v>
      </c>
      <c r="R30" s="36">
        <v>3600</v>
      </c>
      <c r="S30" s="36">
        <v>3600</v>
      </c>
      <c r="T30" s="35">
        <v>1500</v>
      </c>
      <c r="U30" s="35"/>
      <c r="V30" s="35"/>
      <c r="W30" s="35"/>
      <c r="X30" s="37">
        <f t="shared" si="44"/>
        <v>66654</v>
      </c>
      <c r="Y30" s="37">
        <f t="shared" si="45"/>
        <v>69658</v>
      </c>
      <c r="Z30" s="37">
        <f t="shared" si="46"/>
        <v>81028</v>
      </c>
      <c r="AA30" s="35">
        <f>287271+46039</f>
        <v>333310</v>
      </c>
      <c r="AB30" s="81">
        <f>333310+1667+1200+18731+20013+1628+56212+300</f>
        <v>433061</v>
      </c>
      <c r="AC30" s="35">
        <f>370000+56396</f>
        <v>426396</v>
      </c>
      <c r="AD30" s="35">
        <f>40910+8848</f>
        <v>49758</v>
      </c>
      <c r="AE30" s="81">
        <f>49758+270</f>
        <v>50028</v>
      </c>
      <c r="AF30" s="81">
        <f>2500+48485+13070</f>
        <v>64055</v>
      </c>
      <c r="AG30" s="81">
        <f>300899+165929</f>
        <v>466828</v>
      </c>
      <c r="AH30" s="81">
        <f>470287+61227+1500+8053+294+37023+4049+1690+4999+8450+3691+15471-6049+300+9</f>
        <v>610994</v>
      </c>
      <c r="AI30" s="35">
        <f>360990+138065</f>
        <v>499055</v>
      </c>
      <c r="AJ30" s="35">
        <f>39000+23286</f>
        <v>62286</v>
      </c>
      <c r="AK30" s="81">
        <f>58823+4090+3000+14099+620+3014+1050-14000+46-620</f>
        <v>70122</v>
      </c>
      <c r="AL30" s="81">
        <f>60000+27179</f>
        <v>87179</v>
      </c>
      <c r="AM30" s="81">
        <v>1670</v>
      </c>
      <c r="AN30" s="81">
        <f>1670+2415+360-1569+450</f>
        <v>3326</v>
      </c>
      <c r="AO30" s="35">
        <f>2290+599+9100</f>
        <v>11989</v>
      </c>
      <c r="AP30" s="35">
        <f>4079+693</f>
        <v>4772</v>
      </c>
      <c r="AQ30" s="81">
        <f>4772+600</f>
        <v>5372</v>
      </c>
      <c r="AR30" s="81">
        <f>8251+1119</f>
        <v>9370</v>
      </c>
      <c r="AS30" s="81">
        <v>2500</v>
      </c>
      <c r="AT30" s="81">
        <f>2500+3197+13295+1754</f>
        <v>20746</v>
      </c>
      <c r="AU30" s="35">
        <v>6000</v>
      </c>
      <c r="AV30" s="37">
        <f t="shared" si="47"/>
        <v>921124</v>
      </c>
      <c r="AW30" s="37">
        <f t="shared" si="48"/>
        <v>1193649</v>
      </c>
      <c r="AX30" s="37">
        <f t="shared" si="49"/>
        <v>1104044</v>
      </c>
      <c r="AY30" s="36">
        <v>5000</v>
      </c>
      <c r="AZ30" s="36">
        <v>5000</v>
      </c>
      <c r="BA30" s="35">
        <v>5000</v>
      </c>
      <c r="BB30" s="36">
        <v>1000</v>
      </c>
      <c r="BC30" s="38">
        <f>1000+50</f>
        <v>1050</v>
      </c>
      <c r="BD30" s="35">
        <v>10000</v>
      </c>
      <c r="BE30" s="36">
        <v>1500</v>
      </c>
      <c r="BF30" s="38">
        <f>1500+904+821</f>
        <v>3225</v>
      </c>
      <c r="BG30" s="35">
        <f>227+1273</f>
        <v>1500</v>
      </c>
      <c r="BH30" s="37">
        <f t="shared" si="50"/>
        <v>7500</v>
      </c>
      <c r="BI30" s="37">
        <f t="shared" si="51"/>
        <v>9275</v>
      </c>
      <c r="BJ30" s="37">
        <f t="shared" si="52"/>
        <v>16500</v>
      </c>
      <c r="BK30" s="35">
        <v>20283</v>
      </c>
      <c r="BL30" s="36">
        <f>20283-6000</f>
        <v>14283</v>
      </c>
      <c r="BM30" s="35">
        <v>17000</v>
      </c>
      <c r="BN30" s="35">
        <v>0</v>
      </c>
      <c r="BO30" s="35">
        <v>0</v>
      </c>
      <c r="BP30" s="35">
        <v>0</v>
      </c>
      <c r="BQ30" s="36">
        <f>49700+15300</f>
        <v>65000</v>
      </c>
      <c r="BR30" s="81">
        <v>65000</v>
      </c>
      <c r="BS30" s="35">
        <f>33898+10000+651</f>
        <v>44549</v>
      </c>
      <c r="BT30" s="35">
        <f>10410+10462</f>
        <v>20872</v>
      </c>
      <c r="BU30" s="36">
        <v>20872</v>
      </c>
      <c r="BV30" s="35">
        <f>10000+9000</f>
        <v>19000</v>
      </c>
      <c r="BW30" s="35">
        <f>13500+10000</f>
        <v>23500</v>
      </c>
      <c r="BX30" s="36">
        <v>23500</v>
      </c>
      <c r="BY30" s="35">
        <f>30000+25000</f>
        <v>55000</v>
      </c>
      <c r="BZ30" s="35"/>
      <c r="CA30" s="36">
        <v>10736</v>
      </c>
      <c r="CB30" s="35">
        <f>50000+16563</f>
        <v>66563</v>
      </c>
      <c r="CC30" s="35">
        <v>0</v>
      </c>
      <c r="CD30" s="35"/>
      <c r="CE30" s="35">
        <v>0</v>
      </c>
      <c r="CF30" s="36">
        <v>13000</v>
      </c>
      <c r="CG30" s="36">
        <v>13000</v>
      </c>
      <c r="CH30" s="35">
        <f>1000+29000</f>
        <v>30000</v>
      </c>
      <c r="CI30" s="35">
        <v>19000</v>
      </c>
      <c r="CJ30" s="36">
        <v>19000</v>
      </c>
      <c r="CK30" s="35">
        <f>20000+4864</f>
        <v>24864</v>
      </c>
      <c r="CL30" s="35"/>
      <c r="CM30" s="36">
        <v>15000</v>
      </c>
      <c r="CN30" s="35">
        <f>70000+20000</f>
        <v>90000</v>
      </c>
      <c r="CO30" s="36">
        <v>13600</v>
      </c>
      <c r="CP30" s="36">
        <v>13600</v>
      </c>
      <c r="CQ30" s="35">
        <v>25000</v>
      </c>
      <c r="CR30" s="35">
        <v>0</v>
      </c>
      <c r="CS30" s="36">
        <f>48114+0</f>
        <v>48114</v>
      </c>
      <c r="CT30" s="35">
        <v>23000</v>
      </c>
      <c r="CU30" s="35">
        <v>0</v>
      </c>
      <c r="CV30" s="35">
        <v>0</v>
      </c>
      <c r="CW30" s="35">
        <v>0</v>
      </c>
      <c r="CX30" s="37">
        <f t="shared" si="53"/>
        <v>175255</v>
      </c>
      <c r="CY30" s="37">
        <f t="shared" si="54"/>
        <v>243105</v>
      </c>
      <c r="CZ30" s="37">
        <f t="shared" si="55"/>
        <v>394976</v>
      </c>
      <c r="DA30" s="35">
        <f>8942+17000</f>
        <v>25942</v>
      </c>
      <c r="DB30" s="38">
        <f>25942+5000+28390+40687</f>
        <v>100019</v>
      </c>
      <c r="DC30" s="35">
        <f>3220+94010</f>
        <v>97230</v>
      </c>
      <c r="DD30" s="35">
        <v>6116</v>
      </c>
      <c r="DE30" s="38">
        <f>6116-200-630+399</f>
        <v>5685</v>
      </c>
      <c r="DF30" s="35">
        <v>5349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f t="shared" si="56"/>
        <v>32058</v>
      </c>
      <c r="DN30" s="35">
        <f t="shared" si="56"/>
        <v>105704</v>
      </c>
      <c r="DO30" s="35">
        <f t="shared" si="56"/>
        <v>102579</v>
      </c>
      <c r="DP30" s="35">
        <v>0</v>
      </c>
      <c r="DQ30" s="35">
        <v>0</v>
      </c>
      <c r="DR30" s="35">
        <v>0</v>
      </c>
      <c r="DS30" s="35">
        <v>0</v>
      </c>
      <c r="DT30" s="35">
        <v>7280</v>
      </c>
      <c r="DU30" s="35">
        <v>0</v>
      </c>
      <c r="DV30" s="37">
        <f t="shared" si="57"/>
        <v>0</v>
      </c>
      <c r="DW30" s="37">
        <f t="shared" si="58"/>
        <v>7280</v>
      </c>
      <c r="DX30" s="37">
        <f t="shared" si="59"/>
        <v>0</v>
      </c>
      <c r="DY30" s="37">
        <f t="shared" si="60"/>
        <v>1202591</v>
      </c>
      <c r="DZ30" s="37">
        <f t="shared" si="61"/>
        <v>1648471</v>
      </c>
      <c r="EA30" s="37">
        <f t="shared" si="62"/>
        <v>1700701</v>
      </c>
      <c r="EB30" s="34" t="s">
        <v>104</v>
      </c>
    </row>
    <row r="31" spans="1:133">
      <c r="A31" s="33" t="s">
        <v>105</v>
      </c>
      <c r="B31" s="34" t="s">
        <v>106</v>
      </c>
      <c r="C31" s="35">
        <v>0</v>
      </c>
      <c r="D31" s="35">
        <v>0</v>
      </c>
      <c r="E31" s="35">
        <v>0</v>
      </c>
      <c r="F31" s="35">
        <v>0</v>
      </c>
      <c r="G31" s="81"/>
      <c r="H31" s="35">
        <v>0</v>
      </c>
      <c r="I31" s="35">
        <f t="shared" si="41"/>
        <v>0</v>
      </c>
      <c r="J31" s="35">
        <f t="shared" si="42"/>
        <v>0</v>
      </c>
      <c r="K31" s="35">
        <f t="shared" si="43"/>
        <v>0</v>
      </c>
      <c r="L31" s="35"/>
      <c r="M31" s="36">
        <v>10070</v>
      </c>
      <c r="N31" s="35">
        <f>10000+10000</f>
        <v>20000</v>
      </c>
      <c r="O31" s="35">
        <v>2000</v>
      </c>
      <c r="P31" s="36">
        <v>2000</v>
      </c>
      <c r="Q31" s="35">
        <f>2000+0</f>
        <v>2000</v>
      </c>
      <c r="R31" s="36"/>
      <c r="S31" s="36"/>
      <c r="T31" s="35"/>
      <c r="U31" s="35">
        <v>0</v>
      </c>
      <c r="V31" s="35">
        <v>0</v>
      </c>
      <c r="W31" s="35">
        <v>0</v>
      </c>
      <c r="X31" s="37">
        <f t="shared" si="44"/>
        <v>2000</v>
      </c>
      <c r="Y31" s="37">
        <f t="shared" si="45"/>
        <v>12070</v>
      </c>
      <c r="Z31" s="37">
        <f t="shared" si="46"/>
        <v>22000</v>
      </c>
      <c r="AA31" s="35">
        <f>87945+4428</f>
        <v>92373</v>
      </c>
      <c r="AB31" s="81">
        <f>92373+33545+5000</f>
        <v>130918</v>
      </c>
      <c r="AC31" s="35">
        <f>168000+86487</f>
        <v>254487</v>
      </c>
      <c r="AD31" s="35">
        <f>20368+3000</f>
        <v>23368</v>
      </c>
      <c r="AE31" s="81">
        <f>23368+1659</f>
        <v>25027</v>
      </c>
      <c r="AF31" s="81">
        <f>1500+29000+16185</f>
        <v>46685</v>
      </c>
      <c r="AG31" s="81">
        <f>88792+41195</f>
        <v>129987</v>
      </c>
      <c r="AH31" s="81">
        <f>129987-9000+6391-8500-26100</f>
        <v>92778</v>
      </c>
      <c r="AI31" s="35">
        <f>53000+119247</f>
        <v>172247</v>
      </c>
      <c r="AJ31" s="35">
        <v>15000</v>
      </c>
      <c r="AK31" s="81">
        <f>15000-2000+3315</f>
        <v>16315</v>
      </c>
      <c r="AL31" s="81">
        <f>21000+11000</f>
        <v>32000</v>
      </c>
      <c r="AM31" s="81"/>
      <c r="AN31" s="81"/>
      <c r="AO31" s="35">
        <v>10900</v>
      </c>
      <c r="AP31" s="35"/>
      <c r="AQ31" s="81"/>
      <c r="AR31" s="81"/>
      <c r="AS31" s="81">
        <v>2000</v>
      </c>
      <c r="AT31" s="81">
        <f>2000+2240+3537+4536</f>
        <v>12313</v>
      </c>
      <c r="AU31" s="35">
        <v>14000</v>
      </c>
      <c r="AV31" s="37">
        <f t="shared" si="47"/>
        <v>262728</v>
      </c>
      <c r="AW31" s="37">
        <f t="shared" si="48"/>
        <v>277351</v>
      </c>
      <c r="AX31" s="37">
        <f t="shared" si="49"/>
        <v>530319</v>
      </c>
      <c r="AY31" s="49">
        <v>35000</v>
      </c>
      <c r="AZ31" s="49">
        <v>35000</v>
      </c>
      <c r="BA31" s="35">
        <f>24059+10941</f>
        <v>35000</v>
      </c>
      <c r="BB31" s="36"/>
      <c r="BC31" s="36"/>
      <c r="BD31" s="35">
        <v>10000</v>
      </c>
      <c r="BE31" s="36">
        <v>4000</v>
      </c>
      <c r="BF31" s="36">
        <v>4000</v>
      </c>
      <c r="BG31" s="35"/>
      <c r="BH31" s="37">
        <f t="shared" si="50"/>
        <v>39000</v>
      </c>
      <c r="BI31" s="37">
        <f t="shared" si="51"/>
        <v>39000</v>
      </c>
      <c r="BJ31" s="37">
        <f t="shared" si="52"/>
        <v>45000</v>
      </c>
      <c r="BK31" s="35">
        <v>5000</v>
      </c>
      <c r="BL31" s="36">
        <f>5000+7182</f>
        <v>12182</v>
      </c>
      <c r="BM31" s="35">
        <v>5000</v>
      </c>
      <c r="BN31" s="35">
        <v>0</v>
      </c>
      <c r="BO31" s="35">
        <v>0</v>
      </c>
      <c r="BP31" s="35">
        <v>0</v>
      </c>
      <c r="BQ31" s="35">
        <f>6000+4000</f>
        <v>10000</v>
      </c>
      <c r="BR31" s="36">
        <f>10000+6000</f>
        <v>16000</v>
      </c>
      <c r="BS31" s="35">
        <f>15600+7540</f>
        <v>23140</v>
      </c>
      <c r="BT31" s="35">
        <v>48500</v>
      </c>
      <c r="BU31" s="36">
        <v>48500</v>
      </c>
      <c r="BV31" s="35">
        <v>15143</v>
      </c>
      <c r="BW31" s="35">
        <v>30000</v>
      </c>
      <c r="BX31" s="36">
        <f>30000+4000</f>
        <v>34000</v>
      </c>
      <c r="BY31" s="35">
        <f>10000+30000</f>
        <v>40000</v>
      </c>
      <c r="BZ31" s="35"/>
      <c r="CA31" s="36">
        <v>3500</v>
      </c>
      <c r="CB31" s="35">
        <f>8000+2000</f>
        <v>10000</v>
      </c>
      <c r="CC31" s="35">
        <v>0</v>
      </c>
      <c r="CD31" s="35"/>
      <c r="CE31" s="35">
        <v>0</v>
      </c>
      <c r="CF31" s="36"/>
      <c r="CG31" s="36"/>
      <c r="CH31" s="35">
        <v>23000</v>
      </c>
      <c r="CI31" s="35">
        <v>4000</v>
      </c>
      <c r="CJ31" s="36">
        <v>4000</v>
      </c>
      <c r="CK31" s="35">
        <v>10000</v>
      </c>
      <c r="CL31" s="35"/>
      <c r="CM31" s="36">
        <f>5000-500-100</f>
        <v>4400</v>
      </c>
      <c r="CN31" s="35">
        <f>10000+10000</f>
        <v>20000</v>
      </c>
      <c r="CO31" s="36">
        <f>10000+5040</f>
        <v>15040</v>
      </c>
      <c r="CP31" s="36">
        <v>15040</v>
      </c>
      <c r="CQ31" s="35"/>
      <c r="CR31" s="35">
        <v>0</v>
      </c>
      <c r="CS31" s="36">
        <f>31156+0</f>
        <v>31156</v>
      </c>
      <c r="CT31" s="35">
        <v>9600</v>
      </c>
      <c r="CU31" s="35">
        <v>0</v>
      </c>
      <c r="CV31" s="35">
        <v>0</v>
      </c>
      <c r="CW31" s="35">
        <v>0</v>
      </c>
      <c r="CX31" s="37">
        <f t="shared" si="53"/>
        <v>112540</v>
      </c>
      <c r="CY31" s="37">
        <f t="shared" si="54"/>
        <v>168778</v>
      </c>
      <c r="CZ31" s="37">
        <f t="shared" si="55"/>
        <v>155883</v>
      </c>
      <c r="DA31" s="35">
        <f>6000+7000</f>
        <v>13000</v>
      </c>
      <c r="DB31" s="36">
        <f>13000+5000</f>
        <v>18000</v>
      </c>
      <c r="DC31" s="35">
        <v>14000</v>
      </c>
      <c r="DD31" s="35"/>
      <c r="DE31" s="36"/>
      <c r="DF31" s="35"/>
      <c r="DG31" s="35">
        <v>0</v>
      </c>
      <c r="DH31" s="35">
        <v>0</v>
      </c>
      <c r="DI31" s="35">
        <v>0</v>
      </c>
      <c r="DJ31" s="35">
        <v>0</v>
      </c>
      <c r="DK31" s="35">
        <v>3346</v>
      </c>
      <c r="DL31" s="35">
        <v>3346</v>
      </c>
      <c r="DM31" s="35">
        <f>SUM(DA31,DD31,DG31,DJ31)</f>
        <v>13000</v>
      </c>
      <c r="DN31" s="35">
        <f>SUM(DB31,DE31,DH31,DK31)</f>
        <v>21346</v>
      </c>
      <c r="DO31" s="35">
        <f>SUM(DC31,DF31,DI31,DL31)</f>
        <v>17346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7">
        <f t="shared" si="57"/>
        <v>0</v>
      </c>
      <c r="DW31" s="37">
        <f t="shared" si="58"/>
        <v>0</v>
      </c>
      <c r="DX31" s="37">
        <f t="shared" si="59"/>
        <v>0</v>
      </c>
      <c r="DY31" s="37">
        <f t="shared" si="60"/>
        <v>429268</v>
      </c>
      <c r="DZ31" s="37">
        <f t="shared" si="61"/>
        <v>518545</v>
      </c>
      <c r="EA31" s="37">
        <f t="shared" si="62"/>
        <v>770548</v>
      </c>
      <c r="EB31" s="34" t="s">
        <v>106</v>
      </c>
    </row>
    <row r="32" spans="1:133">
      <c r="A32" s="33" t="s">
        <v>107</v>
      </c>
      <c r="B32" s="34" t="s">
        <v>108</v>
      </c>
      <c r="C32" s="35">
        <v>0</v>
      </c>
      <c r="D32" s="35">
        <v>0</v>
      </c>
      <c r="E32" s="35">
        <v>0</v>
      </c>
      <c r="F32" s="35">
        <v>0</v>
      </c>
      <c r="G32" s="81">
        <f>1800-500-1037</f>
        <v>263</v>
      </c>
      <c r="H32" s="35">
        <v>0</v>
      </c>
      <c r="I32" s="35">
        <f t="shared" si="41"/>
        <v>0</v>
      </c>
      <c r="J32" s="35">
        <f t="shared" si="42"/>
        <v>263</v>
      </c>
      <c r="K32" s="35">
        <f t="shared" si="43"/>
        <v>0</v>
      </c>
      <c r="L32" s="35">
        <f>3000+0</f>
        <v>3000</v>
      </c>
      <c r="M32" s="36">
        <v>3000</v>
      </c>
      <c r="N32" s="35">
        <f>3000+3000+2000+2000</f>
        <v>10000</v>
      </c>
      <c r="O32" s="35">
        <v>2000</v>
      </c>
      <c r="P32" s="36">
        <v>2000</v>
      </c>
      <c r="Q32" s="35">
        <f>2500+0</f>
        <v>2500</v>
      </c>
      <c r="R32" s="36"/>
      <c r="S32" s="36"/>
      <c r="T32" s="35"/>
      <c r="U32" s="35">
        <v>0</v>
      </c>
      <c r="V32" s="35">
        <v>0</v>
      </c>
      <c r="W32" s="35">
        <v>0</v>
      </c>
      <c r="X32" s="37">
        <f t="shared" si="44"/>
        <v>5000</v>
      </c>
      <c r="Y32" s="37">
        <f t="shared" si="45"/>
        <v>5000</v>
      </c>
      <c r="Z32" s="37">
        <f t="shared" si="46"/>
        <v>12500</v>
      </c>
      <c r="AA32" s="35">
        <f>14960+818</f>
        <v>15778</v>
      </c>
      <c r="AB32" s="81">
        <f>15778+3990</f>
        <v>19768</v>
      </c>
      <c r="AC32" s="35">
        <f>19250+305</f>
        <v>19555</v>
      </c>
      <c r="AD32" s="35">
        <v>50</v>
      </c>
      <c r="AE32" s="81">
        <v>50</v>
      </c>
      <c r="AF32" s="81">
        <v>100</v>
      </c>
      <c r="AG32" s="81">
        <f>11000+3209</f>
        <v>14209</v>
      </c>
      <c r="AH32" s="81">
        <f>14209-1343+900+480+300</f>
        <v>14546</v>
      </c>
      <c r="AI32" s="35">
        <f>13600+2608</f>
        <v>16208</v>
      </c>
      <c r="AJ32" s="35">
        <v>3500</v>
      </c>
      <c r="AK32" s="81">
        <f>3500-500</f>
        <v>3000</v>
      </c>
      <c r="AL32" s="81">
        <v>4000</v>
      </c>
      <c r="AM32" s="81"/>
      <c r="AN32" s="81"/>
      <c r="AO32" s="35">
        <v>2900</v>
      </c>
      <c r="AP32" s="35"/>
      <c r="AQ32" s="81">
        <f>150+200</f>
        <v>350</v>
      </c>
      <c r="AR32" s="81">
        <v>127</v>
      </c>
      <c r="AS32" s="81">
        <v>0</v>
      </c>
      <c r="AT32" s="81">
        <v>0</v>
      </c>
      <c r="AU32" s="35">
        <v>0</v>
      </c>
      <c r="AV32" s="37">
        <f t="shared" si="47"/>
        <v>33537</v>
      </c>
      <c r="AW32" s="37">
        <f t="shared" si="48"/>
        <v>37714</v>
      </c>
      <c r="AX32" s="37">
        <f t="shared" si="49"/>
        <v>42890</v>
      </c>
      <c r="AY32" s="51"/>
      <c r="AZ32" s="51"/>
      <c r="BA32" s="35"/>
      <c r="BB32" s="36">
        <v>500</v>
      </c>
      <c r="BC32" s="36">
        <v>500</v>
      </c>
      <c r="BD32" s="35">
        <v>3000</v>
      </c>
      <c r="BE32" s="36">
        <v>500</v>
      </c>
      <c r="BF32" s="36">
        <v>500</v>
      </c>
      <c r="BG32" s="35">
        <v>500</v>
      </c>
      <c r="BH32" s="37">
        <f t="shared" si="50"/>
        <v>1000</v>
      </c>
      <c r="BI32" s="37">
        <f t="shared" si="51"/>
        <v>1000</v>
      </c>
      <c r="BJ32" s="37">
        <f t="shared" si="52"/>
        <v>3500</v>
      </c>
      <c r="BK32" s="35">
        <v>269</v>
      </c>
      <c r="BL32" s="36">
        <v>269</v>
      </c>
      <c r="BM32" s="35">
        <v>500</v>
      </c>
      <c r="BN32" s="35">
        <v>0</v>
      </c>
      <c r="BO32" s="35">
        <v>0</v>
      </c>
      <c r="BP32" s="35">
        <v>0</v>
      </c>
      <c r="BQ32" s="35">
        <v>500</v>
      </c>
      <c r="BR32" s="36">
        <f>500+300</f>
        <v>800</v>
      </c>
      <c r="BS32" s="35">
        <v>1000</v>
      </c>
      <c r="BT32" s="35">
        <v>1500</v>
      </c>
      <c r="BU32" s="36">
        <v>1500</v>
      </c>
      <c r="BV32" s="35">
        <f>1712+5000</f>
        <v>6712</v>
      </c>
      <c r="BW32" s="35">
        <v>5000</v>
      </c>
      <c r="BX32" s="36">
        <v>5000</v>
      </c>
      <c r="BY32" s="35">
        <v>8000</v>
      </c>
      <c r="BZ32" s="35"/>
      <c r="CA32" s="36">
        <v>2000</v>
      </c>
      <c r="CB32" s="35">
        <v>2000</v>
      </c>
      <c r="CC32" s="35">
        <v>0</v>
      </c>
      <c r="CD32" s="35"/>
      <c r="CE32" s="35">
        <v>0</v>
      </c>
      <c r="CF32" s="36">
        <v>5000</v>
      </c>
      <c r="CG32" s="36">
        <v>5000</v>
      </c>
      <c r="CH32" s="35">
        <v>8000</v>
      </c>
      <c r="CI32" s="35">
        <v>2000</v>
      </c>
      <c r="CJ32" s="36">
        <v>2000</v>
      </c>
      <c r="CK32" s="35">
        <v>4000</v>
      </c>
      <c r="CL32" s="35"/>
      <c r="CM32" s="36">
        <v>2000</v>
      </c>
      <c r="CN32" s="35">
        <f>2000+1000</f>
        <v>3000</v>
      </c>
      <c r="CO32" s="36">
        <v>3000</v>
      </c>
      <c r="CP32" s="36">
        <v>3000</v>
      </c>
      <c r="CQ32" s="35">
        <v>3000</v>
      </c>
      <c r="CR32" s="35">
        <v>0</v>
      </c>
      <c r="CS32" s="36">
        <v>0</v>
      </c>
      <c r="CT32" s="35">
        <v>1000</v>
      </c>
      <c r="CU32" s="35">
        <v>0</v>
      </c>
      <c r="CV32" s="35">
        <v>0</v>
      </c>
      <c r="CW32" s="35">
        <v>0</v>
      </c>
      <c r="CX32" s="37">
        <f t="shared" si="53"/>
        <v>17269</v>
      </c>
      <c r="CY32" s="37">
        <f t="shared" si="54"/>
        <v>21569</v>
      </c>
      <c r="CZ32" s="37">
        <f t="shared" si="55"/>
        <v>37212</v>
      </c>
      <c r="DA32" s="35">
        <f>1300+1909</f>
        <v>3209</v>
      </c>
      <c r="DB32" s="36">
        <f>3209+6593+1456</f>
        <v>11258</v>
      </c>
      <c r="DC32" s="35">
        <f>948+3234</f>
        <v>4182</v>
      </c>
      <c r="DD32" s="35">
        <v>2011</v>
      </c>
      <c r="DE32" s="38">
        <f>2011+700-165+565</f>
        <v>3111</v>
      </c>
      <c r="DF32" s="35">
        <v>2501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f t="shared" ref="DM32:DO37" si="63">SUM(DA32,DD32,DG32)</f>
        <v>5220</v>
      </c>
      <c r="DN32" s="35">
        <f t="shared" si="63"/>
        <v>14369</v>
      </c>
      <c r="DO32" s="35">
        <f t="shared" si="63"/>
        <v>6683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7">
        <f t="shared" si="57"/>
        <v>0</v>
      </c>
      <c r="DW32" s="37">
        <f t="shared" si="58"/>
        <v>0</v>
      </c>
      <c r="DX32" s="37">
        <f t="shared" si="59"/>
        <v>0</v>
      </c>
      <c r="DY32" s="37">
        <f t="shared" si="60"/>
        <v>62026</v>
      </c>
      <c r="DZ32" s="37">
        <f t="shared" si="61"/>
        <v>79915</v>
      </c>
      <c r="EA32" s="37">
        <f t="shared" si="62"/>
        <v>102785</v>
      </c>
      <c r="EB32" s="34" t="s">
        <v>108</v>
      </c>
    </row>
    <row r="33" spans="1:138">
      <c r="A33" s="33" t="s">
        <v>109</v>
      </c>
      <c r="B33" s="34" t="s">
        <v>110</v>
      </c>
      <c r="C33" s="35">
        <v>0</v>
      </c>
      <c r="D33" s="35">
        <v>0</v>
      </c>
      <c r="E33" s="35">
        <v>0</v>
      </c>
      <c r="F33" s="35">
        <v>0</v>
      </c>
      <c r="G33" s="50"/>
      <c r="H33" s="35">
        <v>0</v>
      </c>
      <c r="I33" s="35">
        <f t="shared" si="41"/>
        <v>0</v>
      </c>
      <c r="J33" s="35">
        <f t="shared" si="42"/>
        <v>0</v>
      </c>
      <c r="K33" s="35">
        <f t="shared" si="43"/>
        <v>0</v>
      </c>
      <c r="L33" s="35">
        <v>0</v>
      </c>
      <c r="M33" s="35">
        <v>0</v>
      </c>
      <c r="N33" s="35">
        <v>0</v>
      </c>
      <c r="O33" s="35"/>
      <c r="P33" s="36"/>
      <c r="Q33" s="35"/>
      <c r="R33" s="36"/>
      <c r="S33" s="36"/>
      <c r="T33" s="35"/>
      <c r="U33" s="35">
        <v>0</v>
      </c>
      <c r="V33" s="35">
        <v>0</v>
      </c>
      <c r="W33" s="35">
        <v>0</v>
      </c>
      <c r="X33" s="37">
        <f t="shared" si="44"/>
        <v>0</v>
      </c>
      <c r="Y33" s="37">
        <f t="shared" si="45"/>
        <v>0</v>
      </c>
      <c r="Z33" s="37">
        <f t="shared" si="46"/>
        <v>0</v>
      </c>
      <c r="AA33" s="35">
        <v>3660</v>
      </c>
      <c r="AB33" s="81">
        <v>3660</v>
      </c>
      <c r="AC33" s="35"/>
      <c r="AD33" s="35"/>
      <c r="AE33" s="81"/>
      <c r="AF33" s="81"/>
      <c r="AG33" s="81"/>
      <c r="AH33" s="81">
        <v>522</v>
      </c>
      <c r="AI33" s="35"/>
      <c r="AJ33" s="35"/>
      <c r="AK33" s="81"/>
      <c r="AL33" s="81"/>
      <c r="AM33" s="81"/>
      <c r="AN33" s="81"/>
      <c r="AO33" s="35"/>
      <c r="AP33" s="35"/>
      <c r="AQ33" s="81">
        <v>0</v>
      </c>
      <c r="AR33" s="81"/>
      <c r="AS33" s="81">
        <v>0</v>
      </c>
      <c r="AT33" s="81">
        <v>0</v>
      </c>
      <c r="AU33" s="35">
        <v>0</v>
      </c>
      <c r="AV33" s="37">
        <f t="shared" si="47"/>
        <v>3660</v>
      </c>
      <c r="AW33" s="37">
        <f t="shared" si="48"/>
        <v>4182</v>
      </c>
      <c r="AX33" s="37">
        <f t="shared" si="49"/>
        <v>0</v>
      </c>
      <c r="AY33" s="51"/>
      <c r="AZ33" s="51"/>
      <c r="BA33" s="35"/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7">
        <f t="shared" si="50"/>
        <v>0</v>
      </c>
      <c r="BI33" s="37">
        <f t="shared" si="51"/>
        <v>0</v>
      </c>
      <c r="BJ33" s="37">
        <f t="shared" si="52"/>
        <v>0</v>
      </c>
      <c r="BK33" s="35"/>
      <c r="BL33" s="36"/>
      <c r="BM33" s="35"/>
      <c r="BN33" s="35">
        <v>0</v>
      </c>
      <c r="BO33" s="35">
        <v>0</v>
      </c>
      <c r="BP33" s="35">
        <v>0</v>
      </c>
      <c r="BQ33" s="35"/>
      <c r="BR33" s="36"/>
      <c r="BS33" s="35"/>
      <c r="BT33" s="35"/>
      <c r="BU33" s="36"/>
      <c r="BV33" s="35"/>
      <c r="BW33" s="35"/>
      <c r="BX33" s="36"/>
      <c r="BY33" s="35"/>
      <c r="BZ33" s="35"/>
      <c r="CA33" s="35"/>
      <c r="CB33" s="35"/>
      <c r="CC33" s="35">
        <v>0</v>
      </c>
      <c r="CD33" s="35"/>
      <c r="CE33" s="35">
        <v>0</v>
      </c>
      <c r="CF33" s="36"/>
      <c r="CG33" s="36"/>
      <c r="CH33" s="35"/>
      <c r="CI33" s="35"/>
      <c r="CJ33" s="36"/>
      <c r="CK33" s="35"/>
      <c r="CL33" s="35"/>
      <c r="CM33" s="36"/>
      <c r="CN33" s="35">
        <v>2000</v>
      </c>
      <c r="CO33" s="36"/>
      <c r="CP33" s="36"/>
      <c r="CQ33" s="35"/>
      <c r="CR33" s="35">
        <v>0</v>
      </c>
      <c r="CS33" s="36">
        <v>0</v>
      </c>
      <c r="CT33" s="35"/>
      <c r="CU33" s="35">
        <v>0</v>
      </c>
      <c r="CV33" s="35">
        <v>0</v>
      </c>
      <c r="CW33" s="35">
        <v>0</v>
      </c>
      <c r="CX33" s="37">
        <f t="shared" si="53"/>
        <v>0</v>
      </c>
      <c r="CY33" s="37">
        <f t="shared" si="54"/>
        <v>0</v>
      </c>
      <c r="CZ33" s="37">
        <f t="shared" si="55"/>
        <v>2000</v>
      </c>
      <c r="DA33" s="35"/>
      <c r="DB33" s="36"/>
      <c r="DC33" s="35"/>
      <c r="DD33" s="35"/>
      <c r="DE33" s="36"/>
      <c r="DF33" s="35"/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f t="shared" si="63"/>
        <v>0</v>
      </c>
      <c r="DN33" s="35">
        <f t="shared" si="63"/>
        <v>0</v>
      </c>
      <c r="DO33" s="35">
        <f t="shared" si="63"/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7">
        <f t="shared" si="57"/>
        <v>0</v>
      </c>
      <c r="DW33" s="37">
        <f t="shared" si="58"/>
        <v>0</v>
      </c>
      <c r="DX33" s="37">
        <f t="shared" si="59"/>
        <v>0</v>
      </c>
      <c r="DY33" s="37">
        <f t="shared" si="60"/>
        <v>3660</v>
      </c>
      <c r="DZ33" s="37">
        <f t="shared" si="61"/>
        <v>4182</v>
      </c>
      <c r="EA33" s="37">
        <f t="shared" si="62"/>
        <v>2000</v>
      </c>
      <c r="EB33" s="34" t="s">
        <v>110</v>
      </c>
    </row>
    <row r="34" spans="1:138" s="54" customFormat="1">
      <c r="A34" s="52" t="s">
        <v>111</v>
      </c>
      <c r="B34" s="53" t="s">
        <v>112</v>
      </c>
      <c r="C34" s="35">
        <v>0</v>
      </c>
      <c r="D34" s="35">
        <v>0</v>
      </c>
      <c r="E34" s="35">
        <v>0</v>
      </c>
      <c r="F34" s="35">
        <v>0</v>
      </c>
      <c r="G34" s="35"/>
      <c r="H34" s="35">
        <v>0</v>
      </c>
      <c r="I34" s="35">
        <f t="shared" si="41"/>
        <v>0</v>
      </c>
      <c r="J34" s="35">
        <f t="shared" si="42"/>
        <v>0</v>
      </c>
      <c r="K34" s="35">
        <f t="shared" si="43"/>
        <v>0</v>
      </c>
      <c r="L34" s="35">
        <v>0</v>
      </c>
      <c r="M34" s="35">
        <v>0</v>
      </c>
      <c r="N34" s="35">
        <v>0</v>
      </c>
      <c r="O34" s="35"/>
      <c r="P34" s="36"/>
      <c r="Q34" s="35"/>
      <c r="R34" s="36">
        <v>6000</v>
      </c>
      <c r="S34" s="36">
        <v>6000</v>
      </c>
      <c r="T34" s="35">
        <f>5670+2000</f>
        <v>7670</v>
      </c>
      <c r="U34" s="35">
        <v>0</v>
      </c>
      <c r="V34" s="35">
        <v>0</v>
      </c>
      <c r="W34" s="35">
        <v>0</v>
      </c>
      <c r="X34" s="37">
        <f t="shared" si="44"/>
        <v>6000</v>
      </c>
      <c r="Y34" s="37">
        <f t="shared" si="45"/>
        <v>6000</v>
      </c>
      <c r="Z34" s="37">
        <f t="shared" si="46"/>
        <v>7670</v>
      </c>
      <c r="AA34" s="35">
        <f>7450+3310</f>
        <v>10760</v>
      </c>
      <c r="AB34" s="81">
        <f>10760+1869</f>
        <v>12629</v>
      </c>
      <c r="AC34" s="35">
        <f>11400+2074</f>
        <v>13474</v>
      </c>
      <c r="AD34" s="35">
        <f>200-6</f>
        <v>194</v>
      </c>
      <c r="AE34" s="81">
        <v>194</v>
      </c>
      <c r="AF34" s="81">
        <f>300+200</f>
        <v>500</v>
      </c>
      <c r="AG34" s="81">
        <f>12887+883</f>
        <v>13770</v>
      </c>
      <c r="AH34" s="81">
        <f>13770+400-300-200</f>
        <v>13670</v>
      </c>
      <c r="AI34" s="35">
        <f>13550+2000</f>
        <v>15550</v>
      </c>
      <c r="AJ34" s="35">
        <v>900</v>
      </c>
      <c r="AK34" s="81">
        <f>900+1000</f>
        <v>1900</v>
      </c>
      <c r="AL34" s="81">
        <v>2000</v>
      </c>
      <c r="AM34" s="81"/>
      <c r="AN34" s="81"/>
      <c r="AO34" s="35">
        <v>400</v>
      </c>
      <c r="AP34" s="35"/>
      <c r="AQ34" s="81">
        <v>0</v>
      </c>
      <c r="AR34" s="81"/>
      <c r="AS34" s="81">
        <v>0</v>
      </c>
      <c r="AT34" s="81">
        <v>4807</v>
      </c>
      <c r="AU34" s="35"/>
      <c r="AV34" s="37">
        <f t="shared" si="47"/>
        <v>25624</v>
      </c>
      <c r="AW34" s="37">
        <f t="shared" si="48"/>
        <v>33200</v>
      </c>
      <c r="AX34" s="37">
        <f t="shared" si="49"/>
        <v>31924</v>
      </c>
      <c r="AY34" s="51"/>
      <c r="AZ34" s="51"/>
      <c r="BA34" s="35"/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7">
        <f t="shared" si="50"/>
        <v>0</v>
      </c>
      <c r="BI34" s="37">
        <f t="shared" si="51"/>
        <v>0</v>
      </c>
      <c r="BJ34" s="37">
        <f t="shared" si="52"/>
        <v>0</v>
      </c>
      <c r="BK34" s="35">
        <v>500</v>
      </c>
      <c r="BL34" s="36">
        <v>500</v>
      </c>
      <c r="BM34" s="35">
        <v>500</v>
      </c>
      <c r="BN34" s="35">
        <v>0</v>
      </c>
      <c r="BO34" s="35">
        <v>0</v>
      </c>
      <c r="BP34" s="35">
        <v>0</v>
      </c>
      <c r="BQ34" s="35">
        <f>131+1419</f>
        <v>1550</v>
      </c>
      <c r="BR34" s="36">
        <v>1550</v>
      </c>
      <c r="BS34" s="35">
        <v>1000</v>
      </c>
      <c r="BT34" s="35">
        <v>1500</v>
      </c>
      <c r="BU34" s="36">
        <v>1500</v>
      </c>
      <c r="BV34" s="35">
        <v>1500</v>
      </c>
      <c r="BW34" s="35">
        <v>1200</v>
      </c>
      <c r="BX34" s="36">
        <v>1200</v>
      </c>
      <c r="BY34" s="35">
        <v>1500</v>
      </c>
      <c r="BZ34" s="35"/>
      <c r="CA34" s="35"/>
      <c r="CB34" s="35"/>
      <c r="CC34" s="35">
        <v>0</v>
      </c>
      <c r="CD34" s="35"/>
      <c r="CE34" s="35">
        <v>0</v>
      </c>
      <c r="CF34" s="36"/>
      <c r="CG34" s="36"/>
      <c r="CH34" s="35"/>
      <c r="CI34" s="35">
        <v>2000</v>
      </c>
      <c r="CJ34" s="36">
        <v>2000</v>
      </c>
      <c r="CK34" s="35">
        <v>2000</v>
      </c>
      <c r="CL34" s="35"/>
      <c r="CM34" s="36">
        <v>1000</v>
      </c>
      <c r="CN34" s="35">
        <v>3000</v>
      </c>
      <c r="CO34" s="36"/>
      <c r="CP34" s="36"/>
      <c r="CQ34" s="35"/>
      <c r="CR34" s="35">
        <v>0</v>
      </c>
      <c r="CS34" s="36">
        <v>0</v>
      </c>
      <c r="CT34" s="35">
        <v>1000</v>
      </c>
      <c r="CU34" s="35">
        <v>0</v>
      </c>
      <c r="CV34" s="35">
        <v>0</v>
      </c>
      <c r="CW34" s="35">
        <v>0</v>
      </c>
      <c r="CX34" s="37">
        <f t="shared" si="53"/>
        <v>6750</v>
      </c>
      <c r="CY34" s="37">
        <f t="shared" si="54"/>
        <v>7750</v>
      </c>
      <c r="CZ34" s="37">
        <f t="shared" si="55"/>
        <v>10500</v>
      </c>
      <c r="DA34" s="35">
        <f>1000+1500</f>
        <v>2500</v>
      </c>
      <c r="DB34" s="36">
        <v>2500</v>
      </c>
      <c r="DC34" s="35">
        <f>780+3000</f>
        <v>3780</v>
      </c>
      <c r="DD34" s="35">
        <v>781</v>
      </c>
      <c r="DE34" s="38">
        <f>781+5+5-21+260</f>
        <v>1030</v>
      </c>
      <c r="DF34" s="35">
        <v>531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f t="shared" si="63"/>
        <v>3281</v>
      </c>
      <c r="DN34" s="35">
        <f t="shared" si="63"/>
        <v>3530</v>
      </c>
      <c r="DO34" s="35">
        <f t="shared" si="63"/>
        <v>4311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7">
        <f t="shared" si="57"/>
        <v>0</v>
      </c>
      <c r="DW34" s="37">
        <f t="shared" si="58"/>
        <v>0</v>
      </c>
      <c r="DX34" s="37">
        <f t="shared" si="59"/>
        <v>0</v>
      </c>
      <c r="DY34" s="37">
        <f t="shared" si="60"/>
        <v>41655</v>
      </c>
      <c r="DZ34" s="37">
        <f t="shared" si="61"/>
        <v>50480</v>
      </c>
      <c r="EA34" s="37">
        <f t="shared" si="62"/>
        <v>54405</v>
      </c>
      <c r="EB34" s="53" t="s">
        <v>112</v>
      </c>
    </row>
    <row r="35" spans="1:138" ht="15" customHeight="1">
      <c r="A35" s="33" t="s">
        <v>113</v>
      </c>
      <c r="B35" s="55" t="s">
        <v>114</v>
      </c>
      <c r="C35" s="35">
        <v>0</v>
      </c>
      <c r="D35" s="35">
        <v>0</v>
      </c>
      <c r="E35" s="35">
        <v>0</v>
      </c>
      <c r="F35" s="35">
        <v>0</v>
      </c>
      <c r="G35" s="35"/>
      <c r="H35" s="35">
        <v>0</v>
      </c>
      <c r="I35" s="35">
        <f t="shared" si="41"/>
        <v>0</v>
      </c>
      <c r="J35" s="35">
        <f t="shared" si="42"/>
        <v>0</v>
      </c>
      <c r="K35" s="35">
        <f t="shared" si="43"/>
        <v>0</v>
      </c>
      <c r="L35" s="35">
        <v>0</v>
      </c>
      <c r="M35" s="35">
        <v>0</v>
      </c>
      <c r="N35" s="35">
        <v>0</v>
      </c>
      <c r="O35" s="35"/>
      <c r="P35" s="36"/>
      <c r="Q35" s="35"/>
      <c r="R35" s="35">
        <v>0</v>
      </c>
      <c r="S35" s="36">
        <v>0</v>
      </c>
      <c r="T35" s="35"/>
      <c r="U35" s="35">
        <v>0</v>
      </c>
      <c r="V35" s="35">
        <v>0</v>
      </c>
      <c r="W35" s="35">
        <v>0</v>
      </c>
      <c r="X35" s="37">
        <f t="shared" si="44"/>
        <v>0</v>
      </c>
      <c r="Y35" s="37">
        <f t="shared" si="45"/>
        <v>0</v>
      </c>
      <c r="Z35" s="37">
        <f t="shared" si="46"/>
        <v>0</v>
      </c>
      <c r="AA35" s="35"/>
      <c r="AB35" s="81"/>
      <c r="AC35" s="35"/>
      <c r="AD35" s="35"/>
      <c r="AE35" s="81"/>
      <c r="AF35" s="81"/>
      <c r="AG35" s="81"/>
      <c r="AH35" s="81"/>
      <c r="AI35" s="35"/>
      <c r="AJ35" s="35"/>
      <c r="AK35" s="81"/>
      <c r="AL35" s="81"/>
      <c r="AM35" s="81">
        <v>0</v>
      </c>
      <c r="AN35" s="81">
        <v>0</v>
      </c>
      <c r="AO35" s="35">
        <v>0</v>
      </c>
      <c r="AP35" s="35"/>
      <c r="AQ35" s="81">
        <v>0</v>
      </c>
      <c r="AR35" s="81"/>
      <c r="AS35" s="81">
        <v>0</v>
      </c>
      <c r="AT35" s="81">
        <v>0</v>
      </c>
      <c r="AU35" s="35"/>
      <c r="AV35" s="37">
        <f t="shared" si="47"/>
        <v>0</v>
      </c>
      <c r="AW35" s="37">
        <f t="shared" si="48"/>
        <v>0</v>
      </c>
      <c r="AX35" s="37">
        <f t="shared" si="49"/>
        <v>0</v>
      </c>
      <c r="AY35" s="51"/>
      <c r="AZ35" s="51"/>
      <c r="BA35" s="35"/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7">
        <f t="shared" si="50"/>
        <v>0</v>
      </c>
      <c r="BI35" s="37">
        <f t="shared" si="51"/>
        <v>0</v>
      </c>
      <c r="BJ35" s="37">
        <f t="shared" si="52"/>
        <v>0</v>
      </c>
      <c r="BK35" s="35"/>
      <c r="BL35" s="36"/>
      <c r="BM35" s="35"/>
      <c r="BN35" s="35">
        <v>0</v>
      </c>
      <c r="BO35" s="35">
        <v>0</v>
      </c>
      <c r="BP35" s="35">
        <v>0</v>
      </c>
      <c r="BQ35" s="35"/>
      <c r="BR35" s="36"/>
      <c r="BS35" s="35"/>
      <c r="BT35" s="35">
        <v>0</v>
      </c>
      <c r="BU35" s="36">
        <v>0</v>
      </c>
      <c r="BV35" s="35">
        <v>0</v>
      </c>
      <c r="BW35" s="35"/>
      <c r="BX35" s="36"/>
      <c r="BY35" s="35"/>
      <c r="BZ35" s="35"/>
      <c r="CA35" s="35"/>
      <c r="CB35" s="35"/>
      <c r="CC35" s="35">
        <v>0</v>
      </c>
      <c r="CD35" s="35">
        <v>0</v>
      </c>
      <c r="CE35" s="35">
        <v>0</v>
      </c>
      <c r="CF35" s="36"/>
      <c r="CG35" s="36">
        <v>0</v>
      </c>
      <c r="CH35" s="35"/>
      <c r="CI35" s="35"/>
      <c r="CJ35" s="36"/>
      <c r="CK35" s="35"/>
      <c r="CL35" s="35"/>
      <c r="CM35" s="36"/>
      <c r="CN35" s="35"/>
      <c r="CO35" s="36"/>
      <c r="CP35" s="36"/>
      <c r="CQ35" s="35"/>
      <c r="CR35" s="35">
        <v>0</v>
      </c>
      <c r="CS35" s="36">
        <v>0</v>
      </c>
      <c r="CT35" s="35"/>
      <c r="CU35" s="35">
        <v>0</v>
      </c>
      <c r="CV35" s="35">
        <v>0</v>
      </c>
      <c r="CW35" s="35">
        <v>0</v>
      </c>
      <c r="CX35" s="37">
        <f t="shared" si="53"/>
        <v>0</v>
      </c>
      <c r="CY35" s="37">
        <f t="shared" si="54"/>
        <v>0</v>
      </c>
      <c r="CZ35" s="37">
        <f t="shared" si="55"/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f t="shared" si="63"/>
        <v>0</v>
      </c>
      <c r="DN35" s="35">
        <f t="shared" si="63"/>
        <v>0</v>
      </c>
      <c r="DO35" s="35">
        <f t="shared" si="63"/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7">
        <f t="shared" si="57"/>
        <v>0</v>
      </c>
      <c r="DW35" s="37">
        <f t="shared" si="58"/>
        <v>0</v>
      </c>
      <c r="DX35" s="37">
        <f t="shared" si="59"/>
        <v>0</v>
      </c>
      <c r="DY35" s="37">
        <f t="shared" si="60"/>
        <v>0</v>
      </c>
      <c r="DZ35" s="37">
        <f t="shared" si="61"/>
        <v>0</v>
      </c>
      <c r="EA35" s="37">
        <f t="shared" si="62"/>
        <v>0</v>
      </c>
      <c r="EB35" s="55" t="s">
        <v>114</v>
      </c>
    </row>
    <row r="36" spans="1:138">
      <c r="A36" s="33" t="s">
        <v>115</v>
      </c>
      <c r="B36" s="55" t="s">
        <v>116</v>
      </c>
      <c r="C36" s="35">
        <v>0</v>
      </c>
      <c r="D36" s="35">
        <v>0</v>
      </c>
      <c r="E36" s="35">
        <v>0</v>
      </c>
      <c r="F36" s="35">
        <v>0</v>
      </c>
      <c r="G36" s="50"/>
      <c r="H36" s="35">
        <v>0</v>
      </c>
      <c r="I36" s="35">
        <f t="shared" si="41"/>
        <v>0</v>
      </c>
      <c r="J36" s="35">
        <f t="shared" si="42"/>
        <v>0</v>
      </c>
      <c r="K36" s="35">
        <f t="shared" si="43"/>
        <v>0</v>
      </c>
      <c r="L36" s="35">
        <v>0</v>
      </c>
      <c r="M36" s="35">
        <v>0</v>
      </c>
      <c r="N36" s="35">
        <v>0</v>
      </c>
      <c r="O36" s="35"/>
      <c r="P36" s="36"/>
      <c r="Q36" s="35"/>
      <c r="R36" s="35">
        <v>0</v>
      </c>
      <c r="S36" s="36">
        <v>0</v>
      </c>
      <c r="T36" s="35">
        <v>0</v>
      </c>
      <c r="U36" s="35">
        <v>0</v>
      </c>
      <c r="V36" s="35">
        <v>0</v>
      </c>
      <c r="W36" s="35">
        <v>0</v>
      </c>
      <c r="X36" s="37">
        <f t="shared" si="44"/>
        <v>0</v>
      </c>
      <c r="Y36" s="37">
        <f t="shared" si="45"/>
        <v>0</v>
      </c>
      <c r="Z36" s="37">
        <f t="shared" si="46"/>
        <v>0</v>
      </c>
      <c r="AA36" s="35">
        <v>1404</v>
      </c>
      <c r="AB36" s="36">
        <f>1404+700</f>
        <v>2104</v>
      </c>
      <c r="AC36" s="35">
        <v>2400</v>
      </c>
      <c r="AD36" s="35"/>
      <c r="AE36" s="81"/>
      <c r="AF36" s="81"/>
      <c r="AG36" s="81">
        <v>1214</v>
      </c>
      <c r="AH36" s="81">
        <f>1214-600</f>
        <v>614</v>
      </c>
      <c r="AI36" s="35">
        <f>1500+1138</f>
        <v>2638</v>
      </c>
      <c r="AJ36" s="35"/>
      <c r="AK36" s="81">
        <f>600+10</f>
        <v>610</v>
      </c>
      <c r="AL36" s="81">
        <v>809</v>
      </c>
      <c r="AM36" s="81">
        <v>0</v>
      </c>
      <c r="AN36" s="81">
        <v>0</v>
      </c>
      <c r="AO36" s="35">
        <v>0</v>
      </c>
      <c r="AP36" s="35"/>
      <c r="AQ36" s="81">
        <v>0</v>
      </c>
      <c r="AR36" s="81"/>
      <c r="AS36" s="81">
        <v>0</v>
      </c>
      <c r="AT36" s="81">
        <v>0</v>
      </c>
      <c r="AU36" s="35"/>
      <c r="AV36" s="37">
        <f t="shared" si="47"/>
        <v>2618</v>
      </c>
      <c r="AW36" s="37">
        <f t="shared" si="48"/>
        <v>3328</v>
      </c>
      <c r="AX36" s="37">
        <f t="shared" si="49"/>
        <v>5847</v>
      </c>
      <c r="AY36" s="51"/>
      <c r="AZ36" s="51"/>
      <c r="BA36" s="35">
        <v>100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7">
        <f t="shared" si="50"/>
        <v>0</v>
      </c>
      <c r="BI36" s="37">
        <f t="shared" si="51"/>
        <v>0</v>
      </c>
      <c r="BJ36" s="37">
        <f t="shared" si="52"/>
        <v>100</v>
      </c>
      <c r="BK36" s="35">
        <v>200</v>
      </c>
      <c r="BL36" s="36">
        <v>200</v>
      </c>
      <c r="BM36" s="35">
        <v>200</v>
      </c>
      <c r="BN36" s="35">
        <v>0</v>
      </c>
      <c r="BO36" s="35">
        <v>0</v>
      </c>
      <c r="BP36" s="35">
        <v>0</v>
      </c>
      <c r="BQ36" s="35">
        <v>1000</v>
      </c>
      <c r="BR36" s="36">
        <v>1000</v>
      </c>
      <c r="BS36" s="35">
        <v>500</v>
      </c>
      <c r="BT36" s="35"/>
      <c r="BU36" s="36"/>
      <c r="BV36" s="35"/>
      <c r="BW36" s="35">
        <v>0</v>
      </c>
      <c r="BX36" s="36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6"/>
      <c r="CG36" s="36">
        <v>0</v>
      </c>
      <c r="CH36" s="35"/>
      <c r="CI36" s="35">
        <v>0</v>
      </c>
      <c r="CJ36" s="36">
        <v>0</v>
      </c>
      <c r="CK36" s="35"/>
      <c r="CL36" s="35"/>
      <c r="CM36" s="36"/>
      <c r="CN36" s="35"/>
      <c r="CO36" s="36">
        <v>2000</v>
      </c>
      <c r="CP36" s="36">
        <v>2000</v>
      </c>
      <c r="CQ36" s="35">
        <v>2000</v>
      </c>
      <c r="CR36" s="35">
        <v>0</v>
      </c>
      <c r="CS36" s="36">
        <v>10000</v>
      </c>
      <c r="CT36" s="35">
        <v>2000</v>
      </c>
      <c r="CU36" s="35">
        <v>0</v>
      </c>
      <c r="CV36" s="35">
        <v>0</v>
      </c>
      <c r="CW36" s="35">
        <v>0</v>
      </c>
      <c r="CX36" s="37">
        <f t="shared" si="53"/>
        <v>3200</v>
      </c>
      <c r="CY36" s="37">
        <f t="shared" si="54"/>
        <v>13200</v>
      </c>
      <c r="CZ36" s="37">
        <f t="shared" si="55"/>
        <v>4700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f t="shared" si="63"/>
        <v>0</v>
      </c>
      <c r="DN36" s="35">
        <f t="shared" si="63"/>
        <v>0</v>
      </c>
      <c r="DO36" s="35">
        <f t="shared" si="63"/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7">
        <f t="shared" si="57"/>
        <v>0</v>
      </c>
      <c r="DW36" s="37">
        <f t="shared" si="58"/>
        <v>0</v>
      </c>
      <c r="DX36" s="37">
        <f t="shared" si="59"/>
        <v>0</v>
      </c>
      <c r="DY36" s="37">
        <f t="shared" si="60"/>
        <v>5818</v>
      </c>
      <c r="DZ36" s="37">
        <f t="shared" si="61"/>
        <v>16528</v>
      </c>
      <c r="EA36" s="37">
        <f t="shared" si="62"/>
        <v>10647</v>
      </c>
      <c r="EB36" s="55" t="s">
        <v>116</v>
      </c>
    </row>
    <row r="37" spans="1:138" s="54" customFormat="1">
      <c r="A37" s="33" t="s">
        <v>117</v>
      </c>
      <c r="B37" s="53" t="s">
        <v>118</v>
      </c>
      <c r="C37" s="35">
        <v>0</v>
      </c>
      <c r="D37" s="35">
        <v>0</v>
      </c>
      <c r="E37" s="35">
        <v>0</v>
      </c>
      <c r="F37" s="35">
        <v>0</v>
      </c>
      <c r="G37" s="28"/>
      <c r="H37" s="35">
        <v>0</v>
      </c>
      <c r="I37" s="35">
        <f t="shared" si="41"/>
        <v>0</v>
      </c>
      <c r="J37" s="35">
        <f t="shared" si="42"/>
        <v>0</v>
      </c>
      <c r="K37" s="35">
        <f t="shared" si="43"/>
        <v>0</v>
      </c>
      <c r="L37" s="35"/>
      <c r="M37" s="35">
        <f>24723-16800-7923</f>
        <v>0</v>
      </c>
      <c r="N37" s="35"/>
      <c r="O37" s="35">
        <v>204</v>
      </c>
      <c r="P37" s="36">
        <v>204</v>
      </c>
      <c r="Q37" s="35">
        <v>413</v>
      </c>
      <c r="R37" s="35">
        <v>0</v>
      </c>
      <c r="S37" s="36">
        <v>0</v>
      </c>
      <c r="T37" s="35">
        <v>0</v>
      </c>
      <c r="U37" s="35">
        <v>0</v>
      </c>
      <c r="V37" s="35">
        <v>0</v>
      </c>
      <c r="W37" s="35">
        <v>0</v>
      </c>
      <c r="X37" s="37">
        <f t="shared" si="44"/>
        <v>204</v>
      </c>
      <c r="Y37" s="37">
        <f t="shared" si="45"/>
        <v>204</v>
      </c>
      <c r="Z37" s="37">
        <f t="shared" si="46"/>
        <v>413</v>
      </c>
      <c r="AA37" s="36">
        <v>29227</v>
      </c>
      <c r="AB37" s="35">
        <v>28</v>
      </c>
      <c r="AC37" s="36"/>
      <c r="AD37" s="35">
        <v>41783</v>
      </c>
      <c r="AE37" s="81">
        <f>41783-41783</f>
        <v>0</v>
      </c>
      <c r="AF37" s="81"/>
      <c r="AG37" s="81">
        <f>219692+83219-4150-22460</f>
        <v>276301</v>
      </c>
      <c r="AH37" s="81">
        <v>76837</v>
      </c>
      <c r="AI37" s="36">
        <f>82331+60000+83134</f>
        <v>225465</v>
      </c>
      <c r="AJ37" s="81">
        <f>30173+500-16000-1100</f>
        <v>13573</v>
      </c>
      <c r="AK37" s="81">
        <f>13573-3000+2975-600+12052</f>
        <v>25000</v>
      </c>
      <c r="AL37" s="81">
        <f>17000+48237</f>
        <v>65237</v>
      </c>
      <c r="AM37" s="81"/>
      <c r="AN37" s="81">
        <v>0</v>
      </c>
      <c r="AO37" s="36"/>
      <c r="AP37" s="35">
        <v>8775</v>
      </c>
      <c r="AQ37" s="81">
        <f>4244-4244</f>
        <v>0</v>
      </c>
      <c r="AR37" s="81"/>
      <c r="AS37" s="81">
        <v>15122</v>
      </c>
      <c r="AT37" s="81">
        <f>93312-4460-994</f>
        <v>87858</v>
      </c>
      <c r="AU37" s="35">
        <v>87858</v>
      </c>
      <c r="AV37" s="37">
        <f t="shared" si="47"/>
        <v>384781</v>
      </c>
      <c r="AW37" s="37">
        <f t="shared" si="48"/>
        <v>189723</v>
      </c>
      <c r="AX37" s="37">
        <f t="shared" si="49"/>
        <v>378560</v>
      </c>
      <c r="AY37" s="49">
        <v>5000</v>
      </c>
      <c r="AZ37" s="49">
        <v>5000</v>
      </c>
      <c r="BA37" s="35"/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7">
        <f t="shared" si="50"/>
        <v>5000</v>
      </c>
      <c r="BI37" s="37">
        <f t="shared" si="51"/>
        <v>5000</v>
      </c>
      <c r="BJ37" s="37">
        <f t="shared" si="52"/>
        <v>0</v>
      </c>
      <c r="BK37" s="35"/>
      <c r="BL37" s="36"/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6">
        <v>0</v>
      </c>
      <c r="BS37" s="35">
        <f>300+8000</f>
        <v>8300</v>
      </c>
      <c r="BT37" s="35">
        <v>0</v>
      </c>
      <c r="BU37" s="36">
        <v>0</v>
      </c>
      <c r="BV37" s="35">
        <v>15120</v>
      </c>
      <c r="BW37" s="36">
        <v>70000</v>
      </c>
      <c r="BX37" s="36">
        <v>70000</v>
      </c>
      <c r="BY37" s="35"/>
      <c r="BZ37" s="36"/>
      <c r="CA37" s="35">
        <v>0</v>
      </c>
      <c r="CB37" s="35"/>
      <c r="CC37" s="35">
        <v>0</v>
      </c>
      <c r="CD37" s="35">
        <v>0</v>
      </c>
      <c r="CE37" s="35">
        <v>0</v>
      </c>
      <c r="CF37" s="36">
        <v>30000</v>
      </c>
      <c r="CG37" s="36">
        <v>30000</v>
      </c>
      <c r="CH37" s="35"/>
      <c r="CI37" s="35">
        <f>6103-2000</f>
        <v>4103</v>
      </c>
      <c r="CJ37" s="36">
        <v>4103</v>
      </c>
      <c r="CK37" s="36"/>
      <c r="CL37" s="35"/>
      <c r="CM37" s="36">
        <v>2000</v>
      </c>
      <c r="CN37" s="35">
        <v>10647</v>
      </c>
      <c r="CO37" s="36">
        <f>363655-50000-2000</f>
        <v>311655</v>
      </c>
      <c r="CP37" s="36">
        <v>311655</v>
      </c>
      <c r="CQ37" s="35">
        <v>252849</v>
      </c>
      <c r="CR37" s="35">
        <v>100142</v>
      </c>
      <c r="CS37" s="36">
        <v>100142</v>
      </c>
      <c r="CT37" s="35">
        <f>104972+7+25000</f>
        <v>129979</v>
      </c>
      <c r="CU37" s="35">
        <v>0</v>
      </c>
      <c r="CV37" s="35">
        <v>0</v>
      </c>
      <c r="CW37" s="35">
        <v>0</v>
      </c>
      <c r="CX37" s="37">
        <f t="shared" si="53"/>
        <v>515900</v>
      </c>
      <c r="CY37" s="37">
        <f t="shared" si="54"/>
        <v>517900</v>
      </c>
      <c r="CZ37" s="37">
        <f t="shared" si="55"/>
        <v>416895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f t="shared" si="63"/>
        <v>0</v>
      </c>
      <c r="DN37" s="35">
        <f t="shared" si="63"/>
        <v>0</v>
      </c>
      <c r="DO37" s="35">
        <f t="shared" si="63"/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7">
        <f t="shared" si="57"/>
        <v>0</v>
      </c>
      <c r="DW37" s="37">
        <f t="shared" si="58"/>
        <v>0</v>
      </c>
      <c r="DX37" s="37">
        <f t="shared" si="59"/>
        <v>0</v>
      </c>
      <c r="DY37" s="37">
        <f t="shared" si="60"/>
        <v>905885</v>
      </c>
      <c r="DZ37" s="37">
        <f t="shared" si="61"/>
        <v>712827</v>
      </c>
      <c r="EA37" s="37">
        <f t="shared" si="62"/>
        <v>795868</v>
      </c>
      <c r="EB37" s="53" t="s">
        <v>118</v>
      </c>
    </row>
    <row r="38" spans="1:138" s="32" customFormat="1">
      <c r="A38" s="39" t="s">
        <v>119</v>
      </c>
      <c r="B38" s="25" t="s">
        <v>120</v>
      </c>
      <c r="C38" s="35">
        <f t="shared" ref="C38:H38" si="64">SUM(C39:C40)</f>
        <v>0</v>
      </c>
      <c r="D38" s="35">
        <f t="shared" si="64"/>
        <v>0</v>
      </c>
      <c r="E38" s="35">
        <f t="shared" si="64"/>
        <v>0</v>
      </c>
      <c r="F38" s="35">
        <f t="shared" si="64"/>
        <v>0</v>
      </c>
      <c r="G38" s="35">
        <f t="shared" si="64"/>
        <v>0</v>
      </c>
      <c r="H38" s="35">
        <f t="shared" si="64"/>
        <v>0</v>
      </c>
      <c r="I38" s="41">
        <f t="shared" si="41"/>
        <v>0</v>
      </c>
      <c r="J38" s="41">
        <f t="shared" si="42"/>
        <v>0</v>
      </c>
      <c r="K38" s="41">
        <f t="shared" si="43"/>
        <v>0</v>
      </c>
      <c r="L38" s="35">
        <f>SUM(L39:L40)</f>
        <v>0</v>
      </c>
      <c r="M38" s="35">
        <f>SUM(M39:M40)</f>
        <v>0</v>
      </c>
      <c r="N38" s="35">
        <f>SUM(N39:N40)</f>
        <v>0</v>
      </c>
      <c r="O38" s="35">
        <f>SUM(O39:O40)</f>
        <v>0</v>
      </c>
      <c r="P38" s="35">
        <f>SUM(P39:P40)</f>
        <v>0</v>
      </c>
      <c r="Q38" s="35">
        <f t="shared" ref="Q38:V38" si="65">SUM(Q39:Q40)</f>
        <v>0</v>
      </c>
      <c r="R38" s="35">
        <f t="shared" si="65"/>
        <v>0</v>
      </c>
      <c r="S38" s="35">
        <f t="shared" si="65"/>
        <v>0</v>
      </c>
      <c r="T38" s="35">
        <f t="shared" si="65"/>
        <v>0</v>
      </c>
      <c r="U38" s="35">
        <f t="shared" si="65"/>
        <v>0</v>
      </c>
      <c r="V38" s="35">
        <f t="shared" si="65"/>
        <v>0</v>
      </c>
      <c r="W38" s="35">
        <f t="shared" ref="W38:AZ38" si="66">SUM(W39:W40)</f>
        <v>0</v>
      </c>
      <c r="X38" s="57">
        <f t="shared" si="44"/>
        <v>0</v>
      </c>
      <c r="Y38" s="57">
        <f t="shared" si="45"/>
        <v>0</v>
      </c>
      <c r="Z38" s="57">
        <f t="shared" si="46"/>
        <v>0</v>
      </c>
      <c r="AA38" s="41">
        <f t="shared" si="66"/>
        <v>0</v>
      </c>
      <c r="AB38" s="41">
        <f t="shared" si="66"/>
        <v>0</v>
      </c>
      <c r="AC38" s="41">
        <f t="shared" si="66"/>
        <v>0</v>
      </c>
      <c r="AD38" s="41">
        <f>SUM(AD39:AD40)</f>
        <v>71</v>
      </c>
      <c r="AE38" s="83">
        <f>SUM(AE39:AE40)</f>
        <v>71</v>
      </c>
      <c r="AF38" s="83">
        <f t="shared" si="66"/>
        <v>0</v>
      </c>
      <c r="AG38" s="83">
        <f>SUM(AG39:AG40)</f>
        <v>8832</v>
      </c>
      <c r="AH38" s="83">
        <f>SUM(AH39:AH40)</f>
        <v>9134</v>
      </c>
      <c r="AI38" s="41">
        <f t="shared" si="66"/>
        <v>18840</v>
      </c>
      <c r="AJ38" s="41">
        <f>SUM(AJ39:AJ40)</f>
        <v>510</v>
      </c>
      <c r="AK38" s="83">
        <f>SUM(AK39:AK40)</f>
        <v>510</v>
      </c>
      <c r="AL38" s="83">
        <f t="shared" si="66"/>
        <v>1000</v>
      </c>
      <c r="AM38" s="81">
        <f>SUM(AM39:AM40)</f>
        <v>0</v>
      </c>
      <c r="AN38" s="81">
        <f t="shared" si="66"/>
        <v>0</v>
      </c>
      <c r="AO38" s="35">
        <f t="shared" si="66"/>
        <v>0</v>
      </c>
      <c r="AP38" s="35">
        <f t="shared" si="66"/>
        <v>0</v>
      </c>
      <c r="AQ38" s="81">
        <f t="shared" si="66"/>
        <v>0</v>
      </c>
      <c r="AR38" s="81">
        <f t="shared" si="66"/>
        <v>0</v>
      </c>
      <c r="AS38" s="81">
        <f t="shared" si="66"/>
        <v>0</v>
      </c>
      <c r="AT38" s="83">
        <f t="shared" si="66"/>
        <v>87</v>
      </c>
      <c r="AU38" s="35">
        <f t="shared" si="66"/>
        <v>0</v>
      </c>
      <c r="AV38" s="41">
        <f t="shared" si="66"/>
        <v>9413</v>
      </c>
      <c r="AW38" s="41">
        <f t="shared" si="66"/>
        <v>9802</v>
      </c>
      <c r="AX38" s="41">
        <f t="shared" si="66"/>
        <v>19840</v>
      </c>
      <c r="AY38" s="35">
        <f t="shared" si="66"/>
        <v>0</v>
      </c>
      <c r="AZ38" s="35">
        <f t="shared" si="66"/>
        <v>0</v>
      </c>
      <c r="BA38" s="35">
        <f t="shared" ref="BA38:BF38" si="67">SUM(BA39:BA40)</f>
        <v>0</v>
      </c>
      <c r="BB38" s="35">
        <f t="shared" si="67"/>
        <v>0</v>
      </c>
      <c r="BC38" s="35">
        <f t="shared" si="67"/>
        <v>0</v>
      </c>
      <c r="BD38" s="35">
        <f t="shared" si="67"/>
        <v>0</v>
      </c>
      <c r="BE38" s="35">
        <f t="shared" si="67"/>
        <v>0</v>
      </c>
      <c r="BF38" s="35">
        <f t="shared" si="67"/>
        <v>0</v>
      </c>
      <c r="BG38" s="35">
        <f t="shared" ref="BG38:BO38" si="68">SUM(BG39:BG40)</f>
        <v>0</v>
      </c>
      <c r="BH38" s="41">
        <f t="shared" si="68"/>
        <v>0</v>
      </c>
      <c r="BI38" s="41">
        <f t="shared" si="68"/>
        <v>0</v>
      </c>
      <c r="BJ38" s="41">
        <f t="shared" si="68"/>
        <v>0</v>
      </c>
      <c r="BK38" s="41">
        <f>SUM(BK39:BK40)</f>
        <v>100</v>
      </c>
      <c r="BL38" s="42">
        <f>SUM(BL39:BL40)</f>
        <v>100</v>
      </c>
      <c r="BM38" s="41">
        <f>SUM(BM39:BM40)</f>
        <v>100</v>
      </c>
      <c r="BN38" s="35">
        <f t="shared" si="68"/>
        <v>0</v>
      </c>
      <c r="BO38" s="35">
        <f t="shared" si="68"/>
        <v>0</v>
      </c>
      <c r="BP38" s="35">
        <f t="shared" ref="BP38:CD38" si="69">SUM(BP39:BP40)</f>
        <v>0</v>
      </c>
      <c r="BQ38" s="41">
        <f t="shared" si="69"/>
        <v>900</v>
      </c>
      <c r="BR38" s="42">
        <f t="shared" si="69"/>
        <v>900</v>
      </c>
      <c r="BS38" s="41">
        <f t="shared" si="69"/>
        <v>700</v>
      </c>
      <c r="BT38" s="41">
        <f t="shared" si="69"/>
        <v>814</v>
      </c>
      <c r="BU38" s="42">
        <f t="shared" si="69"/>
        <v>814</v>
      </c>
      <c r="BV38" s="41">
        <f t="shared" si="69"/>
        <v>900</v>
      </c>
      <c r="BW38" s="41">
        <f t="shared" si="69"/>
        <v>200</v>
      </c>
      <c r="BX38" s="42">
        <f t="shared" si="69"/>
        <v>200</v>
      </c>
      <c r="BY38" s="41">
        <f t="shared" si="69"/>
        <v>200</v>
      </c>
      <c r="BZ38" s="41">
        <f t="shared" si="69"/>
        <v>0</v>
      </c>
      <c r="CA38" s="41">
        <f t="shared" si="69"/>
        <v>0</v>
      </c>
      <c r="CB38" s="41">
        <f t="shared" si="69"/>
        <v>0</v>
      </c>
      <c r="CC38" s="35">
        <f t="shared" si="69"/>
        <v>0</v>
      </c>
      <c r="CD38" s="41">
        <f t="shared" si="69"/>
        <v>0</v>
      </c>
      <c r="CE38" s="35">
        <f t="shared" ref="CE38:CK38" si="70">SUM(CE39:CE40)</f>
        <v>0</v>
      </c>
      <c r="CF38" s="41">
        <f t="shared" si="70"/>
        <v>0</v>
      </c>
      <c r="CG38" s="41">
        <f t="shared" si="70"/>
        <v>0</v>
      </c>
      <c r="CH38" s="41">
        <f t="shared" si="70"/>
        <v>0</v>
      </c>
      <c r="CI38" s="41">
        <f t="shared" si="70"/>
        <v>300</v>
      </c>
      <c r="CJ38" s="42">
        <f t="shared" si="70"/>
        <v>300</v>
      </c>
      <c r="CK38" s="41">
        <f t="shared" si="70"/>
        <v>300</v>
      </c>
      <c r="CL38" s="41">
        <f t="shared" ref="CL38:CP38" si="71">SUM(CL39:CL40)</f>
        <v>0</v>
      </c>
      <c r="CM38" s="42">
        <f t="shared" si="71"/>
        <v>100</v>
      </c>
      <c r="CN38" s="41">
        <f t="shared" si="71"/>
        <v>100</v>
      </c>
      <c r="CO38" s="42">
        <f t="shared" si="71"/>
        <v>500</v>
      </c>
      <c r="CP38" s="42">
        <f t="shared" si="71"/>
        <v>500</v>
      </c>
      <c r="CQ38" s="41">
        <f t="shared" ref="CQ38:CV38" si="72">SUM(CQ39:CQ40)</f>
        <v>1000</v>
      </c>
      <c r="CR38" s="35">
        <f t="shared" si="72"/>
        <v>0</v>
      </c>
      <c r="CS38" s="35">
        <f t="shared" si="72"/>
        <v>0</v>
      </c>
      <c r="CT38" s="35">
        <f t="shared" si="72"/>
        <v>0</v>
      </c>
      <c r="CU38" s="35">
        <f t="shared" si="72"/>
        <v>0</v>
      </c>
      <c r="CV38" s="35">
        <f t="shared" si="72"/>
        <v>0</v>
      </c>
      <c r="CW38" s="35">
        <f>SUM(CW39:CW40)</f>
        <v>0</v>
      </c>
      <c r="CX38" s="41">
        <f t="shared" ref="CX38:DB38" si="73">SUM(CX39:CX40)</f>
        <v>2814</v>
      </c>
      <c r="CY38" s="41">
        <f t="shared" si="73"/>
        <v>2914</v>
      </c>
      <c r="CZ38" s="41">
        <f t="shared" si="73"/>
        <v>3300</v>
      </c>
      <c r="DA38" s="35">
        <f t="shared" si="73"/>
        <v>0</v>
      </c>
      <c r="DB38" s="35">
        <f t="shared" si="73"/>
        <v>0</v>
      </c>
      <c r="DC38" s="35">
        <f>SUM(DC39:DC40)</f>
        <v>0</v>
      </c>
      <c r="DD38" s="35">
        <f>SUM(DD39:DD40)</f>
        <v>0</v>
      </c>
      <c r="DE38" s="35">
        <f>SUM(DE39:DE40)</f>
        <v>0</v>
      </c>
      <c r="DF38" s="35">
        <f t="shared" ref="DF38:DQ38" si="74">SUM(DF39:DF40)</f>
        <v>0</v>
      </c>
      <c r="DG38" s="35">
        <f t="shared" si="74"/>
        <v>0</v>
      </c>
      <c r="DH38" s="35">
        <f t="shared" si="74"/>
        <v>0</v>
      </c>
      <c r="DI38" s="35">
        <f t="shared" si="74"/>
        <v>0</v>
      </c>
      <c r="DJ38" s="35">
        <f>SUM(DJ39:DJ40)</f>
        <v>0</v>
      </c>
      <c r="DK38" s="35">
        <f>SUM(DK39:DK40)</f>
        <v>0</v>
      </c>
      <c r="DL38" s="35">
        <f>SUM(DL39:DL40)</f>
        <v>0</v>
      </c>
      <c r="DM38" s="35">
        <f t="shared" si="74"/>
        <v>0</v>
      </c>
      <c r="DN38" s="35">
        <f t="shared" si="74"/>
        <v>0</v>
      </c>
      <c r="DO38" s="35">
        <f t="shared" si="74"/>
        <v>0</v>
      </c>
      <c r="DP38" s="35">
        <f t="shared" si="74"/>
        <v>0</v>
      </c>
      <c r="DQ38" s="35">
        <f t="shared" si="74"/>
        <v>0</v>
      </c>
      <c r="DR38" s="35">
        <f>SUM(DR39:DR40)</f>
        <v>0</v>
      </c>
      <c r="DS38" s="35">
        <f>SUM(DS39:DS40)</f>
        <v>0</v>
      </c>
      <c r="DT38" s="35">
        <f>SUM(DT39:DT40)</f>
        <v>0</v>
      </c>
      <c r="DU38" s="35">
        <f>SUM(DU39:DU40)</f>
        <v>0</v>
      </c>
      <c r="DV38" s="41">
        <f t="shared" ref="DV38:EA38" si="75">SUM(DV39:DV40)</f>
        <v>0</v>
      </c>
      <c r="DW38" s="41">
        <f t="shared" si="75"/>
        <v>0</v>
      </c>
      <c r="DX38" s="41">
        <f t="shared" si="75"/>
        <v>0</v>
      </c>
      <c r="DY38" s="41">
        <f t="shared" si="75"/>
        <v>12227</v>
      </c>
      <c r="DZ38" s="41">
        <f t="shared" si="75"/>
        <v>12716</v>
      </c>
      <c r="EA38" s="41">
        <f t="shared" si="75"/>
        <v>23140</v>
      </c>
      <c r="EB38" s="25" t="s">
        <v>120</v>
      </c>
    </row>
    <row r="39" spans="1:138">
      <c r="A39" s="33" t="s">
        <v>121</v>
      </c>
      <c r="B39" s="34" t="s">
        <v>122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f t="shared" si="41"/>
        <v>0</v>
      </c>
      <c r="J39" s="35">
        <f t="shared" si="42"/>
        <v>0</v>
      </c>
      <c r="K39" s="35">
        <f t="shared" si="43"/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7">
        <f t="shared" si="44"/>
        <v>0</v>
      </c>
      <c r="Y39" s="37">
        <f t="shared" si="45"/>
        <v>0</v>
      </c>
      <c r="Z39" s="37">
        <f t="shared" si="46"/>
        <v>0</v>
      </c>
      <c r="AA39" s="35"/>
      <c r="AB39" s="35"/>
      <c r="AC39" s="35"/>
      <c r="AD39" s="35">
        <v>0</v>
      </c>
      <c r="AE39" s="81">
        <v>0</v>
      </c>
      <c r="AF39" s="81">
        <v>0</v>
      </c>
      <c r="AG39" s="81">
        <v>461</v>
      </c>
      <c r="AH39" s="81">
        <f>461+400+1616-1736</f>
        <v>741</v>
      </c>
      <c r="AI39" s="35">
        <v>500</v>
      </c>
      <c r="AJ39" s="35">
        <v>500</v>
      </c>
      <c r="AK39" s="81">
        <f>500-500</f>
        <v>0</v>
      </c>
      <c r="AL39" s="81"/>
      <c r="AM39" s="81">
        <v>0</v>
      </c>
      <c r="AN39" s="81">
        <v>0</v>
      </c>
      <c r="AO39" s="35">
        <v>0</v>
      </c>
      <c r="AP39" s="35">
        <v>0</v>
      </c>
      <c r="AQ39" s="81">
        <v>0</v>
      </c>
      <c r="AR39" s="81">
        <v>0</v>
      </c>
      <c r="AS39" s="81">
        <v>0</v>
      </c>
      <c r="AT39" s="81">
        <v>87</v>
      </c>
      <c r="AU39" s="35">
        <v>0</v>
      </c>
      <c r="AV39" s="37">
        <f t="shared" ref="AV39:AX41" si="76">SUM(AA39,AD39,AG39,AJ39,AM39,AP39,AS39)</f>
        <v>961</v>
      </c>
      <c r="AW39" s="37">
        <f t="shared" si="76"/>
        <v>828</v>
      </c>
      <c r="AX39" s="37">
        <f t="shared" si="76"/>
        <v>500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7">
        <f t="shared" ref="BH39:BJ41" si="77">SUM(AY39,BB39,BE39)</f>
        <v>0</v>
      </c>
      <c r="BI39" s="37">
        <f t="shared" si="77"/>
        <v>0</v>
      </c>
      <c r="BJ39" s="37">
        <f t="shared" si="77"/>
        <v>0</v>
      </c>
      <c r="BK39" s="35">
        <v>100</v>
      </c>
      <c r="BL39" s="36">
        <v>100</v>
      </c>
      <c r="BM39" s="35">
        <v>100</v>
      </c>
      <c r="BN39" s="35">
        <v>0</v>
      </c>
      <c r="BO39" s="35">
        <v>0</v>
      </c>
      <c r="BP39" s="35">
        <v>0</v>
      </c>
      <c r="BQ39" s="35">
        <v>500</v>
      </c>
      <c r="BR39" s="36">
        <v>500</v>
      </c>
      <c r="BS39" s="35">
        <v>300</v>
      </c>
      <c r="BT39" s="35">
        <v>700</v>
      </c>
      <c r="BU39" s="36">
        <v>700</v>
      </c>
      <c r="BV39" s="35">
        <v>700</v>
      </c>
      <c r="BW39" s="35">
        <v>100</v>
      </c>
      <c r="BX39" s="36">
        <v>100</v>
      </c>
      <c r="BY39" s="35">
        <v>100</v>
      </c>
      <c r="BZ39" s="35"/>
      <c r="CA39" s="35"/>
      <c r="CB39" s="35"/>
      <c r="CC39" s="35">
        <v>0</v>
      </c>
      <c r="CD39" s="35"/>
      <c r="CE39" s="35">
        <v>0</v>
      </c>
      <c r="CF39" s="35"/>
      <c r="CG39" s="35"/>
      <c r="CH39" s="35"/>
      <c r="CI39" s="35">
        <v>100</v>
      </c>
      <c r="CJ39" s="36">
        <v>100</v>
      </c>
      <c r="CK39" s="35">
        <v>100</v>
      </c>
      <c r="CL39" s="35"/>
      <c r="CM39" s="36">
        <v>100</v>
      </c>
      <c r="CN39" s="35">
        <v>100</v>
      </c>
      <c r="CO39" s="36">
        <v>0</v>
      </c>
      <c r="CP39" s="36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7">
        <f t="shared" ref="CX39:CZ41" si="78">SUM(BK39,BN39,BQ39,BT39,CC39,BW39,CF39,CI39,CO39,CR39,CU39,CL39,BZ39)</f>
        <v>1500</v>
      </c>
      <c r="CY39" s="37">
        <f t="shared" si="78"/>
        <v>1600</v>
      </c>
      <c r="CZ39" s="37">
        <f t="shared" si="78"/>
        <v>1400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f t="shared" ref="DM39:DO40" si="79">SUM(DA39,DD39,DG39)</f>
        <v>0</v>
      </c>
      <c r="DN39" s="35">
        <f t="shared" si="79"/>
        <v>0</v>
      </c>
      <c r="DO39" s="35">
        <f t="shared" si="79"/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7">
        <f t="shared" ref="DV39:DX41" si="80">SUM(DP39,DS39)</f>
        <v>0</v>
      </c>
      <c r="DW39" s="37">
        <f t="shared" si="80"/>
        <v>0</v>
      </c>
      <c r="DX39" s="37">
        <f t="shared" si="80"/>
        <v>0</v>
      </c>
      <c r="DY39" s="37">
        <f t="shared" ref="DY39:EA41" si="81">SUM(I39,X39,AV39,BH39,CX39,DM39,DV39)</f>
        <v>2461</v>
      </c>
      <c r="DZ39" s="37">
        <f t="shared" si="81"/>
        <v>2428</v>
      </c>
      <c r="EA39" s="37">
        <f t="shared" si="81"/>
        <v>1900</v>
      </c>
      <c r="EB39" s="34" t="s">
        <v>122</v>
      </c>
    </row>
    <row r="40" spans="1:138">
      <c r="A40" s="33" t="s">
        <v>123</v>
      </c>
      <c r="B40" s="34" t="s">
        <v>124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f t="shared" si="41"/>
        <v>0</v>
      </c>
      <c r="J40" s="35">
        <f t="shared" si="42"/>
        <v>0</v>
      </c>
      <c r="K40" s="35">
        <f t="shared" si="43"/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7">
        <f t="shared" si="44"/>
        <v>0</v>
      </c>
      <c r="Y40" s="37">
        <f t="shared" si="45"/>
        <v>0</v>
      </c>
      <c r="Z40" s="37">
        <f t="shared" si="46"/>
        <v>0</v>
      </c>
      <c r="AA40" s="35">
        <v>0</v>
      </c>
      <c r="AB40" s="35">
        <v>0</v>
      </c>
      <c r="AC40" s="35">
        <v>0</v>
      </c>
      <c r="AD40" s="36">
        <f>65+6</f>
        <v>71</v>
      </c>
      <c r="AE40" s="81">
        <f>65+6</f>
        <v>71</v>
      </c>
      <c r="AF40" s="81"/>
      <c r="AG40" s="81">
        <f>8192+179</f>
        <v>8371</v>
      </c>
      <c r="AH40" s="81">
        <f>8371+115-93</f>
        <v>8393</v>
      </c>
      <c r="AI40" s="35">
        <v>18340</v>
      </c>
      <c r="AJ40" s="35">
        <v>10</v>
      </c>
      <c r="AK40" s="81">
        <f>10+500</f>
        <v>510</v>
      </c>
      <c r="AL40" s="81">
        <v>1000</v>
      </c>
      <c r="AM40" s="81">
        <v>0</v>
      </c>
      <c r="AN40" s="81">
        <v>0</v>
      </c>
      <c r="AO40" s="35">
        <v>0</v>
      </c>
      <c r="AP40" s="35">
        <v>0</v>
      </c>
      <c r="AQ40" s="81">
        <v>0</v>
      </c>
      <c r="AR40" s="81">
        <v>0</v>
      </c>
      <c r="AS40" s="81">
        <v>0</v>
      </c>
      <c r="AT40" s="81">
        <v>0</v>
      </c>
      <c r="AU40" s="35">
        <v>0</v>
      </c>
      <c r="AV40" s="37">
        <f t="shared" si="76"/>
        <v>8452</v>
      </c>
      <c r="AW40" s="37">
        <f t="shared" si="76"/>
        <v>8974</v>
      </c>
      <c r="AX40" s="37">
        <f t="shared" si="76"/>
        <v>19340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7">
        <f t="shared" si="77"/>
        <v>0</v>
      </c>
      <c r="BI40" s="37">
        <f t="shared" si="77"/>
        <v>0</v>
      </c>
      <c r="BJ40" s="37">
        <f t="shared" si="77"/>
        <v>0</v>
      </c>
      <c r="BK40" s="35"/>
      <c r="BL40" s="35"/>
      <c r="BM40" s="35"/>
      <c r="BN40" s="35">
        <v>0</v>
      </c>
      <c r="BO40" s="35">
        <v>0</v>
      </c>
      <c r="BP40" s="35">
        <v>0</v>
      </c>
      <c r="BQ40" s="35">
        <v>400</v>
      </c>
      <c r="BR40" s="36">
        <v>400</v>
      </c>
      <c r="BS40" s="35">
        <v>400</v>
      </c>
      <c r="BT40" s="35">
        <v>114</v>
      </c>
      <c r="BU40" s="36">
        <v>114</v>
      </c>
      <c r="BV40" s="35">
        <v>200</v>
      </c>
      <c r="BW40" s="35">
        <v>100</v>
      </c>
      <c r="BX40" s="36">
        <v>100</v>
      </c>
      <c r="BY40" s="35">
        <v>100</v>
      </c>
      <c r="BZ40" s="35"/>
      <c r="CA40" s="35"/>
      <c r="CB40" s="35"/>
      <c r="CC40" s="35">
        <v>0</v>
      </c>
      <c r="CD40" s="35"/>
      <c r="CE40" s="35">
        <v>0</v>
      </c>
      <c r="CF40" s="35"/>
      <c r="CG40" s="35"/>
      <c r="CH40" s="35"/>
      <c r="CI40" s="35">
        <v>200</v>
      </c>
      <c r="CJ40" s="36">
        <v>200</v>
      </c>
      <c r="CK40" s="35">
        <v>200</v>
      </c>
      <c r="CL40" s="35"/>
      <c r="CM40" s="35"/>
      <c r="CN40" s="35"/>
      <c r="CO40" s="36">
        <v>500</v>
      </c>
      <c r="CP40" s="36">
        <v>500</v>
      </c>
      <c r="CQ40" s="35">
        <v>1000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7">
        <f t="shared" si="78"/>
        <v>1314</v>
      </c>
      <c r="CY40" s="37">
        <f t="shared" si="78"/>
        <v>1314</v>
      </c>
      <c r="CZ40" s="37">
        <f t="shared" si="78"/>
        <v>1900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f t="shared" si="79"/>
        <v>0</v>
      </c>
      <c r="DN40" s="35">
        <f t="shared" si="79"/>
        <v>0</v>
      </c>
      <c r="DO40" s="35">
        <f t="shared" si="79"/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0</v>
      </c>
      <c r="DU40" s="35">
        <v>0</v>
      </c>
      <c r="DV40" s="37">
        <f t="shared" si="80"/>
        <v>0</v>
      </c>
      <c r="DW40" s="37">
        <f t="shared" si="80"/>
        <v>0</v>
      </c>
      <c r="DX40" s="37">
        <f t="shared" si="80"/>
        <v>0</v>
      </c>
      <c r="DY40" s="37">
        <f t="shared" si="81"/>
        <v>9766</v>
      </c>
      <c r="DZ40" s="37">
        <f t="shared" si="81"/>
        <v>10288</v>
      </c>
      <c r="EA40" s="37">
        <f t="shared" si="81"/>
        <v>21240</v>
      </c>
      <c r="EB40" s="34" t="s">
        <v>124</v>
      </c>
    </row>
    <row r="41" spans="1:138" s="32" customFormat="1">
      <c r="A41" s="39" t="s">
        <v>125</v>
      </c>
      <c r="B41" s="25" t="s">
        <v>126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f t="shared" si="41"/>
        <v>0</v>
      </c>
      <c r="J41" s="41">
        <f t="shared" si="42"/>
        <v>0</v>
      </c>
      <c r="K41" s="41">
        <f t="shared" si="43"/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57">
        <f t="shared" si="44"/>
        <v>0</v>
      </c>
      <c r="Y41" s="57">
        <f t="shared" si="45"/>
        <v>0</v>
      </c>
      <c r="Z41" s="57">
        <f t="shared" si="46"/>
        <v>0</v>
      </c>
      <c r="AA41" s="41">
        <v>0</v>
      </c>
      <c r="AB41" s="41">
        <v>0</v>
      </c>
      <c r="AC41" s="41">
        <v>0</v>
      </c>
      <c r="AD41" s="41">
        <v>0</v>
      </c>
      <c r="AE41" s="83">
        <v>0</v>
      </c>
      <c r="AF41" s="83">
        <v>0</v>
      </c>
      <c r="AG41" s="83">
        <f>90100+1677</f>
        <v>91777</v>
      </c>
      <c r="AH41" s="83">
        <f>91777+1215</f>
        <v>92992</v>
      </c>
      <c r="AI41" s="41">
        <f>90100+4854</f>
        <v>94954</v>
      </c>
      <c r="AJ41" s="41">
        <f>22300+4875</f>
        <v>27175</v>
      </c>
      <c r="AK41" s="83">
        <f>27175-2600</f>
        <v>24575</v>
      </c>
      <c r="AL41" s="83">
        <f>19700+2244</f>
        <v>21944</v>
      </c>
      <c r="AM41" s="83">
        <v>0</v>
      </c>
      <c r="AN41" s="83">
        <v>0</v>
      </c>
      <c r="AO41" s="41">
        <v>0</v>
      </c>
      <c r="AP41" s="41">
        <v>0</v>
      </c>
      <c r="AQ41" s="83">
        <v>0</v>
      </c>
      <c r="AR41" s="83">
        <v>0</v>
      </c>
      <c r="AS41" s="83">
        <v>0</v>
      </c>
      <c r="AT41" s="83">
        <v>0</v>
      </c>
      <c r="AU41" s="41">
        <v>0</v>
      </c>
      <c r="AV41" s="57">
        <f t="shared" si="76"/>
        <v>118952</v>
      </c>
      <c r="AW41" s="57">
        <f t="shared" si="76"/>
        <v>117567</v>
      </c>
      <c r="AX41" s="57">
        <f t="shared" si="76"/>
        <v>116898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37">
        <f t="shared" si="77"/>
        <v>0</v>
      </c>
      <c r="BI41" s="37">
        <f t="shared" si="77"/>
        <v>0</v>
      </c>
      <c r="BJ41" s="37">
        <f t="shared" si="77"/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/>
      <c r="BR41" s="42"/>
      <c r="BS41" s="41"/>
      <c r="BT41" s="41"/>
      <c r="BU41" s="42"/>
      <c r="BV41" s="41"/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37">
        <f t="shared" si="78"/>
        <v>0</v>
      </c>
      <c r="CY41" s="37">
        <f t="shared" si="78"/>
        <v>0</v>
      </c>
      <c r="CZ41" s="37">
        <f t="shared" si="78"/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37">
        <f t="shared" si="80"/>
        <v>0</v>
      </c>
      <c r="DW41" s="37">
        <f t="shared" si="80"/>
        <v>0</v>
      </c>
      <c r="DX41" s="37">
        <f t="shared" si="80"/>
        <v>0</v>
      </c>
      <c r="DY41" s="57">
        <f t="shared" si="81"/>
        <v>118952</v>
      </c>
      <c r="DZ41" s="57">
        <f t="shared" si="81"/>
        <v>117567</v>
      </c>
      <c r="EA41" s="57">
        <f t="shared" si="81"/>
        <v>116898</v>
      </c>
      <c r="EB41" s="25" t="s">
        <v>126</v>
      </c>
    </row>
    <row r="42" spans="1:138" s="32" customFormat="1">
      <c r="A42" s="39" t="s">
        <v>127</v>
      </c>
      <c r="B42" s="25" t="s">
        <v>128</v>
      </c>
      <c r="C42" s="41">
        <f t="shared" ref="C42:T42" si="82">SUM(C43:C44)</f>
        <v>0</v>
      </c>
      <c r="D42" s="41">
        <f t="shared" si="82"/>
        <v>0</v>
      </c>
      <c r="E42" s="41">
        <f t="shared" si="82"/>
        <v>0</v>
      </c>
      <c r="F42" s="41">
        <f>SUM(F43:F44)</f>
        <v>0</v>
      </c>
      <c r="G42" s="41">
        <f>SUM(G43:G44)</f>
        <v>0</v>
      </c>
      <c r="H42" s="41">
        <f>SUM(H43:H44)</f>
        <v>0</v>
      </c>
      <c r="I42" s="41">
        <f t="shared" si="82"/>
        <v>0</v>
      </c>
      <c r="J42" s="41">
        <f t="shared" si="82"/>
        <v>0</v>
      </c>
      <c r="K42" s="41">
        <f t="shared" si="82"/>
        <v>0</v>
      </c>
      <c r="L42" s="41">
        <f t="shared" si="82"/>
        <v>0</v>
      </c>
      <c r="M42" s="41">
        <f t="shared" si="82"/>
        <v>0</v>
      </c>
      <c r="N42" s="41">
        <f t="shared" si="82"/>
        <v>0</v>
      </c>
      <c r="O42" s="41">
        <f t="shared" si="82"/>
        <v>0</v>
      </c>
      <c r="P42" s="41">
        <f t="shared" si="82"/>
        <v>0</v>
      </c>
      <c r="Q42" s="41">
        <f t="shared" si="82"/>
        <v>0</v>
      </c>
      <c r="R42" s="41">
        <f t="shared" si="82"/>
        <v>0</v>
      </c>
      <c r="S42" s="41">
        <f t="shared" si="82"/>
        <v>0</v>
      </c>
      <c r="T42" s="41">
        <f t="shared" si="82"/>
        <v>0</v>
      </c>
      <c r="U42" s="41">
        <f>SUM(U43:U44)</f>
        <v>0</v>
      </c>
      <c r="V42" s="41">
        <f>SUM(V43:V44)</f>
        <v>0</v>
      </c>
      <c r="W42" s="41">
        <f>SUM(W43:W44)</f>
        <v>0</v>
      </c>
      <c r="X42" s="57">
        <f t="shared" si="44"/>
        <v>0</v>
      </c>
      <c r="Y42" s="57">
        <f t="shared" si="45"/>
        <v>0</v>
      </c>
      <c r="Z42" s="57">
        <f t="shared" si="46"/>
        <v>0</v>
      </c>
      <c r="AA42" s="41">
        <f t="shared" ref="AA42:BV42" si="83">SUM(AA43:AA44)</f>
        <v>0</v>
      </c>
      <c r="AB42" s="41">
        <f t="shared" si="83"/>
        <v>0</v>
      </c>
      <c r="AC42" s="41">
        <f t="shared" si="83"/>
        <v>0</v>
      </c>
      <c r="AD42" s="41">
        <f t="shared" si="83"/>
        <v>0</v>
      </c>
      <c r="AE42" s="41">
        <f t="shared" si="83"/>
        <v>0</v>
      </c>
      <c r="AF42" s="41">
        <f t="shared" si="83"/>
        <v>0</v>
      </c>
      <c r="AG42" s="41">
        <f t="shared" si="83"/>
        <v>0</v>
      </c>
      <c r="AH42" s="41">
        <f t="shared" si="83"/>
        <v>0</v>
      </c>
      <c r="AI42" s="41">
        <f t="shared" si="83"/>
        <v>0</v>
      </c>
      <c r="AJ42" s="42">
        <f>SUM(AJ43:AJ44)</f>
        <v>0</v>
      </c>
      <c r="AK42" s="41">
        <f t="shared" si="83"/>
        <v>0</v>
      </c>
      <c r="AL42" s="41">
        <f t="shared" si="83"/>
        <v>0</v>
      </c>
      <c r="AM42" s="41">
        <f>SUM(AM43:AM43)</f>
        <v>0</v>
      </c>
      <c r="AN42" s="41">
        <f t="shared" si="83"/>
        <v>0</v>
      </c>
      <c r="AO42" s="41">
        <f t="shared" si="83"/>
        <v>0</v>
      </c>
      <c r="AP42" s="41">
        <f t="shared" si="83"/>
        <v>0</v>
      </c>
      <c r="AQ42" s="41">
        <f t="shared" si="83"/>
        <v>0</v>
      </c>
      <c r="AR42" s="41">
        <f t="shared" si="83"/>
        <v>0</v>
      </c>
      <c r="AS42" s="41">
        <f t="shared" si="83"/>
        <v>0</v>
      </c>
      <c r="AT42" s="41">
        <f t="shared" si="83"/>
        <v>0</v>
      </c>
      <c r="AU42" s="41">
        <f t="shared" si="83"/>
        <v>0</v>
      </c>
      <c r="AV42" s="41">
        <f t="shared" si="83"/>
        <v>0</v>
      </c>
      <c r="AW42" s="41">
        <f t="shared" si="83"/>
        <v>0</v>
      </c>
      <c r="AX42" s="41">
        <f t="shared" si="83"/>
        <v>0</v>
      </c>
      <c r="AY42" s="41">
        <f t="shared" si="83"/>
        <v>0</v>
      </c>
      <c r="AZ42" s="41">
        <f t="shared" si="83"/>
        <v>0</v>
      </c>
      <c r="BA42" s="41">
        <f t="shared" si="83"/>
        <v>0</v>
      </c>
      <c r="BB42" s="41">
        <f t="shared" si="83"/>
        <v>0</v>
      </c>
      <c r="BC42" s="41">
        <f t="shared" si="83"/>
        <v>0</v>
      </c>
      <c r="BD42" s="41">
        <f t="shared" si="83"/>
        <v>0</v>
      </c>
      <c r="BE42" s="41">
        <f t="shared" si="83"/>
        <v>0</v>
      </c>
      <c r="BF42" s="41">
        <f t="shared" si="83"/>
        <v>0</v>
      </c>
      <c r="BG42" s="41">
        <f t="shared" si="83"/>
        <v>0</v>
      </c>
      <c r="BH42" s="41">
        <f t="shared" si="83"/>
        <v>0</v>
      </c>
      <c r="BI42" s="41">
        <f t="shared" si="83"/>
        <v>0</v>
      </c>
      <c r="BJ42" s="41">
        <f t="shared" si="83"/>
        <v>0</v>
      </c>
      <c r="BK42" s="41">
        <f t="shared" si="83"/>
        <v>0</v>
      </c>
      <c r="BL42" s="41">
        <f t="shared" si="83"/>
        <v>0</v>
      </c>
      <c r="BM42" s="41">
        <f t="shared" si="83"/>
        <v>0</v>
      </c>
      <c r="BN42" s="41">
        <f t="shared" si="83"/>
        <v>0</v>
      </c>
      <c r="BO42" s="41">
        <f t="shared" si="83"/>
        <v>0</v>
      </c>
      <c r="BP42" s="41">
        <f t="shared" si="83"/>
        <v>0</v>
      </c>
      <c r="BQ42" s="41">
        <f>SUM(BQ43:BQ44)</f>
        <v>15600</v>
      </c>
      <c r="BR42" s="42">
        <f>SUM(BR43:BR44)</f>
        <v>27000</v>
      </c>
      <c r="BS42" s="41">
        <f t="shared" si="83"/>
        <v>27000</v>
      </c>
      <c r="BT42" s="41">
        <f>SUM(BT43:BT44)</f>
        <v>8736</v>
      </c>
      <c r="BU42" s="42">
        <f>SUM(BU43:BU44)</f>
        <v>15120</v>
      </c>
      <c r="BV42" s="41">
        <f t="shared" si="83"/>
        <v>15120</v>
      </c>
      <c r="BW42" s="41">
        <f t="shared" ref="BW42:DT42" si="84">SUM(BW43:BW44)</f>
        <v>0</v>
      </c>
      <c r="BX42" s="41">
        <f t="shared" si="84"/>
        <v>0</v>
      </c>
      <c r="BY42" s="41">
        <f t="shared" si="84"/>
        <v>0</v>
      </c>
      <c r="BZ42" s="41">
        <f>SUM(BZ43:BZ44)</f>
        <v>0</v>
      </c>
      <c r="CA42" s="41">
        <f>SUM(CA43:CA44)</f>
        <v>0</v>
      </c>
      <c r="CB42" s="41">
        <f>SUM(CB43:CB44)</f>
        <v>0</v>
      </c>
      <c r="CC42" s="41">
        <f t="shared" si="84"/>
        <v>0</v>
      </c>
      <c r="CD42" s="41">
        <f t="shared" si="84"/>
        <v>0</v>
      </c>
      <c r="CE42" s="41">
        <f t="shared" si="84"/>
        <v>0</v>
      </c>
      <c r="CF42" s="41">
        <f>SUM(CF43:CF44)</f>
        <v>0</v>
      </c>
      <c r="CG42" s="41">
        <f>SUM(CG43:CG44)</f>
        <v>0</v>
      </c>
      <c r="CH42" s="41">
        <f t="shared" si="84"/>
        <v>0</v>
      </c>
      <c r="CI42" s="41">
        <f>SUM(CI43:CI44)</f>
        <v>0</v>
      </c>
      <c r="CJ42" s="41">
        <f>SUM(CJ43:CJ44)</f>
        <v>0</v>
      </c>
      <c r="CK42" s="41">
        <f t="shared" si="84"/>
        <v>0</v>
      </c>
      <c r="CL42" s="41">
        <f>SUM(CL43:CL44)</f>
        <v>0</v>
      </c>
      <c r="CM42" s="41">
        <f>SUM(CM43:CM44)</f>
        <v>0</v>
      </c>
      <c r="CN42" s="41">
        <f>SUM(CN43:CN44)</f>
        <v>0</v>
      </c>
      <c r="CO42" s="41">
        <f t="shared" si="84"/>
        <v>0</v>
      </c>
      <c r="CP42" s="41">
        <f t="shared" si="84"/>
        <v>0</v>
      </c>
      <c r="CQ42" s="41">
        <f t="shared" si="84"/>
        <v>0</v>
      </c>
      <c r="CR42" s="41">
        <f>SUM(CR43:CR44)</f>
        <v>0</v>
      </c>
      <c r="CS42" s="41">
        <f t="shared" si="84"/>
        <v>0</v>
      </c>
      <c r="CT42" s="41">
        <f t="shared" si="84"/>
        <v>0</v>
      </c>
      <c r="CU42" s="41">
        <f t="shared" si="84"/>
        <v>3939</v>
      </c>
      <c r="CV42" s="41">
        <f t="shared" si="84"/>
        <v>109179</v>
      </c>
      <c r="CW42" s="41">
        <f t="shared" si="84"/>
        <v>11113</v>
      </c>
      <c r="CX42" s="41">
        <f t="shared" si="84"/>
        <v>28275</v>
      </c>
      <c r="CY42" s="41">
        <f t="shared" si="84"/>
        <v>151299</v>
      </c>
      <c r="CZ42" s="41">
        <f t="shared" si="84"/>
        <v>53233</v>
      </c>
      <c r="DA42" s="41">
        <f t="shared" si="84"/>
        <v>0</v>
      </c>
      <c r="DB42" s="41">
        <f t="shared" si="84"/>
        <v>0</v>
      </c>
      <c r="DC42" s="41">
        <f t="shared" si="84"/>
        <v>0</v>
      </c>
      <c r="DD42" s="41">
        <f t="shared" si="84"/>
        <v>0</v>
      </c>
      <c r="DE42" s="41">
        <f t="shared" si="84"/>
        <v>0</v>
      </c>
      <c r="DF42" s="41">
        <f t="shared" si="84"/>
        <v>0</v>
      </c>
      <c r="DG42" s="41">
        <f t="shared" si="84"/>
        <v>0</v>
      </c>
      <c r="DH42" s="41">
        <f t="shared" si="84"/>
        <v>0</v>
      </c>
      <c r="DI42" s="41">
        <f t="shared" si="84"/>
        <v>0</v>
      </c>
      <c r="DJ42" s="41">
        <f>SUM(DJ43:DJ44)</f>
        <v>0</v>
      </c>
      <c r="DK42" s="41">
        <f>SUM(DK43:DK44)</f>
        <v>0</v>
      </c>
      <c r="DL42" s="41">
        <f>SUM(DL43:DL44)</f>
        <v>0</v>
      </c>
      <c r="DM42" s="41">
        <f t="shared" si="84"/>
        <v>0</v>
      </c>
      <c r="DN42" s="41">
        <f t="shared" si="84"/>
        <v>0</v>
      </c>
      <c r="DO42" s="41">
        <f t="shared" si="84"/>
        <v>0</v>
      </c>
      <c r="DP42" s="41">
        <f t="shared" si="84"/>
        <v>0</v>
      </c>
      <c r="DQ42" s="41">
        <f t="shared" si="84"/>
        <v>0</v>
      </c>
      <c r="DR42" s="41">
        <f t="shared" si="84"/>
        <v>0</v>
      </c>
      <c r="DS42" s="41">
        <f t="shared" si="84"/>
        <v>0</v>
      </c>
      <c r="DT42" s="41">
        <f t="shared" si="84"/>
        <v>0</v>
      </c>
      <c r="DU42" s="41">
        <f>SUM(DU43:DU44)</f>
        <v>0</v>
      </c>
      <c r="DV42" s="41">
        <f t="shared" ref="DV42:EA42" si="85">SUM(DV43:DV44)</f>
        <v>0</v>
      </c>
      <c r="DW42" s="41">
        <f t="shared" si="85"/>
        <v>0</v>
      </c>
      <c r="DX42" s="41">
        <f t="shared" si="85"/>
        <v>0</v>
      </c>
      <c r="DY42" s="41">
        <f t="shared" si="85"/>
        <v>28275</v>
      </c>
      <c r="DZ42" s="41">
        <f t="shared" si="85"/>
        <v>151299</v>
      </c>
      <c r="EA42" s="41">
        <f t="shared" si="85"/>
        <v>53233</v>
      </c>
      <c r="EB42" s="25" t="s">
        <v>128</v>
      </c>
    </row>
    <row r="43" spans="1:138">
      <c r="A43" s="33" t="s">
        <v>129</v>
      </c>
      <c r="B43" s="34" t="s">
        <v>130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f t="shared" ref="I43:K46" si="86">SUM(C43,F43,)</f>
        <v>0</v>
      </c>
      <c r="J43" s="35">
        <f t="shared" si="86"/>
        <v>0</v>
      </c>
      <c r="K43" s="35">
        <f t="shared" si="86"/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7">
        <f t="shared" si="44"/>
        <v>0</v>
      </c>
      <c r="Y43" s="37">
        <f t="shared" si="45"/>
        <v>0</v>
      </c>
      <c r="Z43" s="37">
        <f t="shared" si="46"/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6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7">
        <f t="shared" ref="AV43:AX44" si="87">SUM(AA43,AD43,AG43,AJ43,AM43,AP43,AS43)</f>
        <v>0</v>
      </c>
      <c r="AW43" s="37">
        <f t="shared" si="87"/>
        <v>0</v>
      </c>
      <c r="AX43" s="37">
        <f t="shared" si="87"/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7">
        <f t="shared" ref="BH43:BJ44" si="88">SUM(AY43,BB43,BE43)</f>
        <v>0</v>
      </c>
      <c r="BI43" s="37">
        <f t="shared" si="88"/>
        <v>0</v>
      </c>
      <c r="BJ43" s="37">
        <f t="shared" si="88"/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15600</v>
      </c>
      <c r="BR43" s="36">
        <f>15600+11400</f>
        <v>27000</v>
      </c>
      <c r="BS43" s="35">
        <v>27000</v>
      </c>
      <c r="BT43" s="35">
        <v>8736</v>
      </c>
      <c r="BU43" s="36">
        <f>8736+6384</f>
        <v>15120</v>
      </c>
      <c r="BV43" s="35">
        <v>15120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/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/>
      <c r="CT43" s="35">
        <v>0</v>
      </c>
      <c r="CU43" s="35">
        <v>0</v>
      </c>
      <c r="CV43" s="35">
        <v>0</v>
      </c>
      <c r="CW43" s="35">
        <v>0</v>
      </c>
      <c r="CX43" s="37">
        <f t="shared" ref="CX43:CZ44" si="89">SUM(BK43,BN43,BQ43,BT43,CC43,BW43,CF43,CI43,CO43,CR43,CU43,CL43,BZ43)</f>
        <v>24336</v>
      </c>
      <c r="CY43" s="37">
        <f t="shared" si="89"/>
        <v>42120</v>
      </c>
      <c r="CZ43" s="37">
        <f t="shared" si="89"/>
        <v>42120</v>
      </c>
      <c r="DA43" s="35">
        <v>0</v>
      </c>
      <c r="DB43" s="35">
        <v>0</v>
      </c>
      <c r="DC43" s="35">
        <v>0</v>
      </c>
      <c r="DD43" s="35">
        <v>0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f t="shared" ref="DM43:DO44" si="90">SUM(DA43,DD43,DG43)</f>
        <v>0</v>
      </c>
      <c r="DN43" s="35">
        <f t="shared" si="90"/>
        <v>0</v>
      </c>
      <c r="DO43" s="35">
        <f t="shared" si="90"/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7">
        <f t="shared" ref="DV43:DX44" si="91">SUM(DP43,DS43)</f>
        <v>0</v>
      </c>
      <c r="DW43" s="37">
        <f t="shared" si="91"/>
        <v>0</v>
      </c>
      <c r="DX43" s="37">
        <f t="shared" si="91"/>
        <v>0</v>
      </c>
      <c r="DY43" s="37">
        <f t="shared" ref="DY43:EA44" si="92">SUM(I43,X43,AV43,BH43,CX43,DM43,DV43)</f>
        <v>24336</v>
      </c>
      <c r="DZ43" s="37">
        <f t="shared" si="92"/>
        <v>42120</v>
      </c>
      <c r="EA43" s="37">
        <f t="shared" si="92"/>
        <v>42120</v>
      </c>
      <c r="EB43" s="34" t="s">
        <v>130</v>
      </c>
    </row>
    <row r="44" spans="1:138" ht="15">
      <c r="A44" s="33" t="s">
        <v>131</v>
      </c>
      <c r="B44" s="34" t="s">
        <v>132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f t="shared" si="86"/>
        <v>0</v>
      </c>
      <c r="J44" s="35">
        <f t="shared" si="86"/>
        <v>0</v>
      </c>
      <c r="K44" s="35">
        <f t="shared" si="86"/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7">
        <f t="shared" si="44"/>
        <v>0</v>
      </c>
      <c r="Y44" s="37">
        <f t="shared" si="45"/>
        <v>0</v>
      </c>
      <c r="Z44" s="37">
        <f t="shared" si="46"/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/>
      <c r="AI44" s="35">
        <v>0</v>
      </c>
      <c r="AJ44" s="36">
        <v>0</v>
      </c>
      <c r="AK44" s="35">
        <v>0</v>
      </c>
      <c r="AL44" s="35">
        <v>0</v>
      </c>
      <c r="AM44" s="41">
        <f>SUM(AM45:AM46)</f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7">
        <f t="shared" si="87"/>
        <v>0</v>
      </c>
      <c r="AW44" s="37">
        <f t="shared" si="87"/>
        <v>0</v>
      </c>
      <c r="AX44" s="37">
        <f t="shared" si="87"/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7">
        <f t="shared" si="88"/>
        <v>0</v>
      </c>
      <c r="BI44" s="37">
        <f t="shared" si="88"/>
        <v>0</v>
      </c>
      <c r="BJ44" s="37">
        <f t="shared" si="88"/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35"/>
      <c r="CT44" s="35">
        <v>0</v>
      </c>
      <c r="CU44" s="46">
        <v>3939</v>
      </c>
      <c r="CV44" s="35">
        <v>109179</v>
      </c>
      <c r="CW44" s="47">
        <v>11113</v>
      </c>
      <c r="CX44" s="37">
        <f t="shared" si="89"/>
        <v>3939</v>
      </c>
      <c r="CY44" s="37">
        <f t="shared" si="89"/>
        <v>109179</v>
      </c>
      <c r="CZ44" s="37">
        <f t="shared" si="89"/>
        <v>11113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f t="shared" si="90"/>
        <v>0</v>
      </c>
      <c r="DN44" s="35">
        <f t="shared" si="90"/>
        <v>0</v>
      </c>
      <c r="DO44" s="35">
        <f t="shared" si="90"/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7">
        <f t="shared" si="91"/>
        <v>0</v>
      </c>
      <c r="DW44" s="37">
        <f t="shared" si="91"/>
        <v>0</v>
      </c>
      <c r="DX44" s="37">
        <f t="shared" si="91"/>
        <v>0</v>
      </c>
      <c r="DY44" s="37">
        <f t="shared" si="92"/>
        <v>3939</v>
      </c>
      <c r="DZ44" s="37">
        <f t="shared" si="92"/>
        <v>109179</v>
      </c>
      <c r="EA44" s="37">
        <f t="shared" si="92"/>
        <v>11113</v>
      </c>
      <c r="EB44" s="34" t="s">
        <v>132</v>
      </c>
    </row>
    <row r="45" spans="1:138" s="32" customFormat="1">
      <c r="A45" s="39" t="s">
        <v>133</v>
      </c>
      <c r="B45" s="25" t="s">
        <v>134</v>
      </c>
      <c r="C45" s="41">
        <f t="shared" ref="C45:M46" si="93">SUM(C46:C47)</f>
        <v>0</v>
      </c>
      <c r="D45" s="41">
        <f t="shared" si="93"/>
        <v>0</v>
      </c>
      <c r="E45" s="41">
        <f t="shared" si="93"/>
        <v>0</v>
      </c>
      <c r="F45" s="41">
        <f t="shared" si="93"/>
        <v>0</v>
      </c>
      <c r="G45" s="41">
        <f t="shared" si="93"/>
        <v>0</v>
      </c>
      <c r="H45" s="41">
        <f t="shared" si="93"/>
        <v>0</v>
      </c>
      <c r="I45" s="41">
        <f t="shared" si="86"/>
        <v>0</v>
      </c>
      <c r="J45" s="41">
        <f t="shared" si="86"/>
        <v>0</v>
      </c>
      <c r="K45" s="41">
        <f t="shared" si="86"/>
        <v>0</v>
      </c>
      <c r="L45" s="41">
        <f t="shared" si="93"/>
        <v>0</v>
      </c>
      <c r="M45" s="41">
        <f t="shared" si="93"/>
        <v>0</v>
      </c>
      <c r="N45" s="41">
        <f>SUM(N46:N47)</f>
        <v>0</v>
      </c>
      <c r="O45" s="41">
        <f t="shared" ref="O45:P46" si="94">SUM(O46:O47)</f>
        <v>0</v>
      </c>
      <c r="P45" s="41">
        <f t="shared" si="94"/>
        <v>0</v>
      </c>
      <c r="Q45" s="41">
        <f>SUM(Q46:Q47)</f>
        <v>0</v>
      </c>
      <c r="R45" s="41">
        <f t="shared" ref="R45:S46" si="95">SUM(R46:R47)</f>
        <v>0</v>
      </c>
      <c r="S45" s="41">
        <f t="shared" si="95"/>
        <v>0</v>
      </c>
      <c r="T45" s="41">
        <f>SUM(T46:T47)</f>
        <v>0</v>
      </c>
      <c r="U45" s="41">
        <f t="shared" ref="U45:AE46" si="96">SUM(U46:U47)</f>
        <v>0</v>
      </c>
      <c r="V45" s="41">
        <f t="shared" si="96"/>
        <v>0</v>
      </c>
      <c r="W45" s="41">
        <f t="shared" si="96"/>
        <v>0</v>
      </c>
      <c r="X45" s="57">
        <f t="shared" si="44"/>
        <v>0</v>
      </c>
      <c r="Y45" s="57">
        <f t="shared" si="45"/>
        <v>0</v>
      </c>
      <c r="Z45" s="57">
        <f t="shared" si="46"/>
        <v>0</v>
      </c>
      <c r="AA45" s="41">
        <f t="shared" si="96"/>
        <v>0</v>
      </c>
      <c r="AB45" s="41">
        <f t="shared" si="96"/>
        <v>0</v>
      </c>
      <c r="AC45" s="41">
        <f t="shared" si="96"/>
        <v>0</v>
      </c>
      <c r="AD45" s="41">
        <f t="shared" si="96"/>
        <v>0</v>
      </c>
      <c r="AE45" s="41">
        <f t="shared" si="96"/>
        <v>0</v>
      </c>
      <c r="AF45" s="41">
        <f>SUM(AF46:AF47)</f>
        <v>0</v>
      </c>
      <c r="AG45" s="41">
        <f t="shared" ref="AG45:AL46" si="97">SUM(AG46:AG47)</f>
        <v>0</v>
      </c>
      <c r="AH45" s="41">
        <f t="shared" si="97"/>
        <v>0</v>
      </c>
      <c r="AI45" s="41">
        <f t="shared" si="97"/>
        <v>0</v>
      </c>
      <c r="AJ45" s="42">
        <f t="shared" si="97"/>
        <v>0</v>
      </c>
      <c r="AK45" s="41">
        <f t="shared" si="97"/>
        <v>0</v>
      </c>
      <c r="AL45" s="41">
        <f t="shared" si="97"/>
        <v>0</v>
      </c>
      <c r="AM45" s="35">
        <f>SUM(AM46:AM47)</f>
        <v>0</v>
      </c>
      <c r="AN45" s="41">
        <f t="shared" ref="AN45:AQ46" si="98">SUM(AN46:AN47)</f>
        <v>0</v>
      </c>
      <c r="AO45" s="41">
        <f t="shared" si="98"/>
        <v>0</v>
      </c>
      <c r="AP45" s="41">
        <f t="shared" si="98"/>
        <v>0</v>
      </c>
      <c r="AQ45" s="41">
        <f t="shared" si="98"/>
        <v>0</v>
      </c>
      <c r="AR45" s="41">
        <f>SUM(AR46:AR47)</f>
        <v>0</v>
      </c>
      <c r="AS45" s="41">
        <f t="shared" ref="AS45:CT46" si="99">SUM(AS46:AS47)</f>
        <v>0</v>
      </c>
      <c r="AT45" s="41">
        <f t="shared" si="99"/>
        <v>0</v>
      </c>
      <c r="AU45" s="41">
        <f t="shared" si="99"/>
        <v>0</v>
      </c>
      <c r="AV45" s="41">
        <f t="shared" si="99"/>
        <v>0</v>
      </c>
      <c r="AW45" s="41">
        <f t="shared" si="99"/>
        <v>0</v>
      </c>
      <c r="AX45" s="41">
        <f t="shared" si="99"/>
        <v>0</v>
      </c>
      <c r="AY45" s="41">
        <f t="shared" si="99"/>
        <v>0</v>
      </c>
      <c r="AZ45" s="41">
        <f t="shared" si="99"/>
        <v>0</v>
      </c>
      <c r="BA45" s="41">
        <f t="shared" si="99"/>
        <v>0</v>
      </c>
      <c r="BB45" s="41">
        <f t="shared" si="99"/>
        <v>0</v>
      </c>
      <c r="BC45" s="41">
        <f t="shared" si="99"/>
        <v>0</v>
      </c>
      <c r="BD45" s="41">
        <f t="shared" si="99"/>
        <v>0</v>
      </c>
      <c r="BE45" s="41">
        <f t="shared" si="99"/>
        <v>0</v>
      </c>
      <c r="BF45" s="41">
        <f t="shared" si="99"/>
        <v>0</v>
      </c>
      <c r="BG45" s="41">
        <f t="shared" si="99"/>
        <v>0</v>
      </c>
      <c r="BH45" s="41">
        <f t="shared" si="99"/>
        <v>0</v>
      </c>
      <c r="BI45" s="41">
        <f t="shared" si="99"/>
        <v>0</v>
      </c>
      <c r="BJ45" s="41">
        <f t="shared" si="99"/>
        <v>0</v>
      </c>
      <c r="BK45" s="41">
        <f t="shared" si="99"/>
        <v>0</v>
      </c>
      <c r="BL45" s="41">
        <f t="shared" si="99"/>
        <v>0</v>
      </c>
      <c r="BM45" s="41">
        <f t="shared" si="99"/>
        <v>0</v>
      </c>
      <c r="BN45" s="41">
        <f t="shared" si="99"/>
        <v>0</v>
      </c>
      <c r="BO45" s="41">
        <f t="shared" si="99"/>
        <v>0</v>
      </c>
      <c r="BP45" s="41">
        <f t="shared" si="99"/>
        <v>0</v>
      </c>
      <c r="BQ45" s="41">
        <f t="shared" si="99"/>
        <v>0</v>
      </c>
      <c r="BR45" s="41">
        <f t="shared" si="99"/>
        <v>0</v>
      </c>
      <c r="BS45" s="41">
        <f t="shared" si="99"/>
        <v>0</v>
      </c>
      <c r="BT45" s="41">
        <f t="shared" si="99"/>
        <v>0</v>
      </c>
      <c r="BU45" s="41">
        <f t="shared" si="99"/>
        <v>0</v>
      </c>
      <c r="BV45" s="41">
        <f t="shared" si="99"/>
        <v>0</v>
      </c>
      <c r="BW45" s="41">
        <f t="shared" si="99"/>
        <v>0</v>
      </c>
      <c r="BX45" s="41">
        <f t="shared" si="99"/>
        <v>0</v>
      </c>
      <c r="BY45" s="41">
        <f t="shared" si="99"/>
        <v>0</v>
      </c>
      <c r="BZ45" s="41">
        <f t="shared" si="99"/>
        <v>0</v>
      </c>
      <c r="CA45" s="41">
        <f t="shared" si="99"/>
        <v>0</v>
      </c>
      <c r="CB45" s="41">
        <f t="shared" si="99"/>
        <v>0</v>
      </c>
      <c r="CC45" s="41">
        <f t="shared" si="99"/>
        <v>0</v>
      </c>
      <c r="CD45" s="41">
        <f t="shared" si="99"/>
        <v>0</v>
      </c>
      <c r="CE45" s="41">
        <f t="shared" si="99"/>
        <v>0</v>
      </c>
      <c r="CF45" s="41">
        <f t="shared" si="99"/>
        <v>0</v>
      </c>
      <c r="CG45" s="41">
        <f t="shared" si="99"/>
        <v>0</v>
      </c>
      <c r="CH45" s="41">
        <f t="shared" si="99"/>
        <v>0</v>
      </c>
      <c r="CI45" s="41">
        <f t="shared" si="99"/>
        <v>0</v>
      </c>
      <c r="CJ45" s="41">
        <f t="shared" si="99"/>
        <v>0</v>
      </c>
      <c r="CK45" s="41">
        <f t="shared" si="99"/>
        <v>0</v>
      </c>
      <c r="CL45" s="41">
        <f t="shared" si="99"/>
        <v>0</v>
      </c>
      <c r="CM45" s="41">
        <f t="shared" si="99"/>
        <v>0</v>
      </c>
      <c r="CN45" s="41">
        <f t="shared" si="99"/>
        <v>0</v>
      </c>
      <c r="CO45" s="41">
        <f t="shared" si="99"/>
        <v>0</v>
      </c>
      <c r="CP45" s="41">
        <f t="shared" si="99"/>
        <v>0</v>
      </c>
      <c r="CQ45" s="41">
        <f t="shared" si="99"/>
        <v>0</v>
      </c>
      <c r="CR45" s="41">
        <f>SUM(CR46:CR47)</f>
        <v>0</v>
      </c>
      <c r="CS45" s="41">
        <f t="shared" si="99"/>
        <v>0</v>
      </c>
      <c r="CT45" s="41">
        <f t="shared" si="99"/>
        <v>0</v>
      </c>
      <c r="CU45" s="41">
        <f t="shared" ref="CU45:EA46" si="100">SUM(CU46:CU47)</f>
        <v>0</v>
      </c>
      <c r="CV45" s="41">
        <f t="shared" si="100"/>
        <v>0</v>
      </c>
      <c r="CW45" s="41">
        <f t="shared" si="100"/>
        <v>0</v>
      </c>
      <c r="CX45" s="41">
        <f t="shared" si="100"/>
        <v>0</v>
      </c>
      <c r="CY45" s="41">
        <f t="shared" si="100"/>
        <v>0</v>
      </c>
      <c r="CZ45" s="41">
        <f t="shared" si="100"/>
        <v>0</v>
      </c>
      <c r="DA45" s="41">
        <f t="shared" si="100"/>
        <v>0</v>
      </c>
      <c r="DB45" s="41">
        <f t="shared" si="100"/>
        <v>0</v>
      </c>
      <c r="DC45" s="41">
        <f t="shared" si="100"/>
        <v>0</v>
      </c>
      <c r="DD45" s="41">
        <f t="shared" si="100"/>
        <v>0</v>
      </c>
      <c r="DE45" s="41">
        <f t="shared" si="100"/>
        <v>0</v>
      </c>
      <c r="DF45" s="41">
        <f t="shared" si="100"/>
        <v>0</v>
      </c>
      <c r="DG45" s="41">
        <f t="shared" si="100"/>
        <v>0</v>
      </c>
      <c r="DH45" s="41">
        <f t="shared" si="100"/>
        <v>0</v>
      </c>
      <c r="DI45" s="41">
        <f t="shared" si="100"/>
        <v>0</v>
      </c>
      <c r="DJ45" s="41">
        <f>SUM(DJ46:DJ47)</f>
        <v>0</v>
      </c>
      <c r="DK45" s="41">
        <f>SUM(DK46:DK47)</f>
        <v>0</v>
      </c>
      <c r="DL45" s="41">
        <f>SUM(DL46:DL47)</f>
        <v>0</v>
      </c>
      <c r="DM45" s="41">
        <f t="shared" si="100"/>
        <v>0</v>
      </c>
      <c r="DN45" s="41">
        <f t="shared" si="100"/>
        <v>0</v>
      </c>
      <c r="DO45" s="41">
        <f t="shared" si="100"/>
        <v>0</v>
      </c>
      <c r="DP45" s="41">
        <f t="shared" si="100"/>
        <v>194276</v>
      </c>
      <c r="DQ45" s="41">
        <f t="shared" si="100"/>
        <v>228211</v>
      </c>
      <c r="DR45" s="41">
        <f t="shared" si="100"/>
        <v>180803</v>
      </c>
      <c r="DS45" s="41">
        <f t="shared" si="100"/>
        <v>0</v>
      </c>
      <c r="DT45" s="41">
        <f t="shared" si="100"/>
        <v>0</v>
      </c>
      <c r="DU45" s="41">
        <f t="shared" si="100"/>
        <v>0</v>
      </c>
      <c r="DV45" s="41">
        <f t="shared" si="100"/>
        <v>194276</v>
      </c>
      <c r="DW45" s="41">
        <f t="shared" si="100"/>
        <v>228211</v>
      </c>
      <c r="DX45" s="41">
        <f t="shared" si="100"/>
        <v>180803</v>
      </c>
      <c r="DY45" s="41">
        <f t="shared" si="100"/>
        <v>194276</v>
      </c>
      <c r="DZ45" s="41">
        <f t="shared" si="100"/>
        <v>228211</v>
      </c>
      <c r="EA45" s="41">
        <f t="shared" si="100"/>
        <v>180803</v>
      </c>
      <c r="EB45" s="25" t="s">
        <v>134</v>
      </c>
    </row>
    <row r="46" spans="1:138">
      <c r="A46" s="33" t="s">
        <v>135</v>
      </c>
      <c r="B46" s="34" t="s">
        <v>136</v>
      </c>
      <c r="C46" s="35">
        <f t="shared" si="93"/>
        <v>0</v>
      </c>
      <c r="D46" s="35">
        <f t="shared" si="93"/>
        <v>0</v>
      </c>
      <c r="E46" s="35">
        <f t="shared" si="93"/>
        <v>0</v>
      </c>
      <c r="F46" s="35">
        <f t="shared" si="93"/>
        <v>0</v>
      </c>
      <c r="G46" s="35">
        <f t="shared" si="93"/>
        <v>0</v>
      </c>
      <c r="H46" s="35">
        <f t="shared" si="93"/>
        <v>0</v>
      </c>
      <c r="I46" s="35">
        <f t="shared" si="86"/>
        <v>0</v>
      </c>
      <c r="J46" s="35">
        <f t="shared" si="86"/>
        <v>0</v>
      </c>
      <c r="K46" s="35">
        <f t="shared" si="86"/>
        <v>0</v>
      </c>
      <c r="L46" s="35">
        <f>SUM(L47:L48)</f>
        <v>0</v>
      </c>
      <c r="M46" s="35">
        <f t="shared" si="93"/>
        <v>0</v>
      </c>
      <c r="N46" s="35">
        <f>SUM(N47:N48)</f>
        <v>0</v>
      </c>
      <c r="O46" s="35">
        <f>SUM(O47:O48)</f>
        <v>0</v>
      </c>
      <c r="P46" s="35">
        <f t="shared" si="94"/>
        <v>0</v>
      </c>
      <c r="Q46" s="35">
        <f>SUM(Q47:Q48)</f>
        <v>0</v>
      </c>
      <c r="R46" s="35">
        <f>SUM(R47:R48)</f>
        <v>0</v>
      </c>
      <c r="S46" s="35">
        <f t="shared" si="95"/>
        <v>0</v>
      </c>
      <c r="T46" s="35">
        <f>SUM(T47:T48)</f>
        <v>0</v>
      </c>
      <c r="U46" s="35">
        <f>SUM(U47:U48)</f>
        <v>0</v>
      </c>
      <c r="V46" s="35">
        <f t="shared" si="96"/>
        <v>0</v>
      </c>
      <c r="W46" s="35">
        <f>SUM(W47:W48)</f>
        <v>0</v>
      </c>
      <c r="X46" s="37">
        <f t="shared" si="44"/>
        <v>0</v>
      </c>
      <c r="Y46" s="37">
        <f t="shared" si="45"/>
        <v>0</v>
      </c>
      <c r="Z46" s="37">
        <f t="shared" si="46"/>
        <v>0</v>
      </c>
      <c r="AA46" s="35">
        <f>SUM(AA47:AA48)</f>
        <v>0</v>
      </c>
      <c r="AB46" s="35">
        <f>SUM(AB47:AB48)</f>
        <v>0</v>
      </c>
      <c r="AC46" s="35">
        <f>SUM(AC47:AC48)</f>
        <v>0</v>
      </c>
      <c r="AD46" s="35">
        <f>SUM(AD47:AD48)</f>
        <v>0</v>
      </c>
      <c r="AE46" s="35">
        <f t="shared" si="96"/>
        <v>0</v>
      </c>
      <c r="AF46" s="35">
        <f>SUM(AF47:AF48)</f>
        <v>0</v>
      </c>
      <c r="AG46" s="35">
        <f>SUM(AG47:AG48)</f>
        <v>0</v>
      </c>
      <c r="AH46" s="35">
        <f t="shared" si="97"/>
        <v>0</v>
      </c>
      <c r="AI46" s="35">
        <f t="shared" si="97"/>
        <v>0</v>
      </c>
      <c r="AJ46" s="36">
        <f t="shared" si="97"/>
        <v>0</v>
      </c>
      <c r="AK46" s="35">
        <f t="shared" si="97"/>
        <v>0</v>
      </c>
      <c r="AL46" s="35">
        <f t="shared" si="97"/>
        <v>0</v>
      </c>
      <c r="AM46" s="35">
        <v>0</v>
      </c>
      <c r="AN46" s="35">
        <f t="shared" si="98"/>
        <v>0</v>
      </c>
      <c r="AO46" s="35">
        <f t="shared" si="98"/>
        <v>0</v>
      </c>
      <c r="AP46" s="35">
        <f>SUM(AP47:AP48)</f>
        <v>0</v>
      </c>
      <c r="AQ46" s="35">
        <f t="shared" si="98"/>
        <v>0</v>
      </c>
      <c r="AR46" s="35">
        <f>SUM(AR47:AR48)</f>
        <v>0</v>
      </c>
      <c r="AS46" s="35">
        <f>SUM(AS47:AS48)</f>
        <v>0</v>
      </c>
      <c r="AT46" s="35">
        <f t="shared" si="99"/>
        <v>0</v>
      </c>
      <c r="AU46" s="35">
        <f>SUM(AU47:AU48)</f>
        <v>0</v>
      </c>
      <c r="AV46" s="37">
        <f t="shared" ref="AV46:AX50" si="101">SUM(AA46,AD46,AG46,AJ46,AM46,AP46,AS46)</f>
        <v>0</v>
      </c>
      <c r="AW46" s="37">
        <f t="shared" si="101"/>
        <v>0</v>
      </c>
      <c r="AX46" s="37">
        <f t="shared" si="101"/>
        <v>0</v>
      </c>
      <c r="AY46" s="35">
        <f t="shared" si="99"/>
        <v>0</v>
      </c>
      <c r="AZ46" s="35">
        <f t="shared" si="99"/>
        <v>0</v>
      </c>
      <c r="BA46" s="35">
        <f t="shared" si="99"/>
        <v>0</v>
      </c>
      <c r="BB46" s="35">
        <f t="shared" si="99"/>
        <v>0</v>
      </c>
      <c r="BC46" s="35">
        <f t="shared" si="99"/>
        <v>0</v>
      </c>
      <c r="BD46" s="35">
        <f t="shared" si="99"/>
        <v>0</v>
      </c>
      <c r="BE46" s="35">
        <f t="shared" si="99"/>
        <v>0</v>
      </c>
      <c r="BF46" s="35">
        <f t="shared" si="99"/>
        <v>0</v>
      </c>
      <c r="BG46" s="35">
        <f>SUM(BG47:BG48)</f>
        <v>0</v>
      </c>
      <c r="BH46" s="37">
        <f t="shared" ref="BH46:BJ50" si="102">SUM(AY46,BB46,BE46)</f>
        <v>0</v>
      </c>
      <c r="BI46" s="37">
        <f t="shared" si="102"/>
        <v>0</v>
      </c>
      <c r="BJ46" s="37">
        <f t="shared" si="102"/>
        <v>0</v>
      </c>
      <c r="BK46" s="35">
        <f>SUM(BK47:BK48)</f>
        <v>0</v>
      </c>
      <c r="BL46" s="35">
        <f t="shared" si="99"/>
        <v>0</v>
      </c>
      <c r="BM46" s="35">
        <f t="shared" si="99"/>
        <v>0</v>
      </c>
      <c r="BN46" s="35">
        <f t="shared" si="99"/>
        <v>0</v>
      </c>
      <c r="BO46" s="35">
        <f t="shared" si="99"/>
        <v>0</v>
      </c>
      <c r="BP46" s="35">
        <f t="shared" si="99"/>
        <v>0</v>
      </c>
      <c r="BQ46" s="35">
        <f t="shared" si="99"/>
        <v>0</v>
      </c>
      <c r="BR46" s="35">
        <f t="shared" si="99"/>
        <v>0</v>
      </c>
      <c r="BS46" s="35">
        <f t="shared" si="99"/>
        <v>0</v>
      </c>
      <c r="BT46" s="35">
        <f>SUM(BT47:BT48)</f>
        <v>0</v>
      </c>
      <c r="BU46" s="35">
        <f t="shared" si="99"/>
        <v>0</v>
      </c>
      <c r="BV46" s="35">
        <f>SUM(BV47:BV48)</f>
        <v>0</v>
      </c>
      <c r="BW46" s="35">
        <f>SUM(BW47:BW48)</f>
        <v>0</v>
      </c>
      <c r="BX46" s="35">
        <f t="shared" ref="BX46:CK46" si="103">SUM(BX47:BX48)</f>
        <v>0</v>
      </c>
      <c r="BY46" s="35">
        <f t="shared" si="103"/>
        <v>0</v>
      </c>
      <c r="BZ46" s="35">
        <f t="shared" si="99"/>
        <v>0</v>
      </c>
      <c r="CA46" s="35">
        <f t="shared" si="99"/>
        <v>0</v>
      </c>
      <c r="CB46" s="35">
        <f t="shared" si="99"/>
        <v>0</v>
      </c>
      <c r="CC46" s="35">
        <f t="shared" si="103"/>
        <v>0</v>
      </c>
      <c r="CD46" s="35">
        <f t="shared" si="103"/>
        <v>0</v>
      </c>
      <c r="CE46" s="35">
        <f t="shared" si="103"/>
        <v>0</v>
      </c>
      <c r="CF46" s="35">
        <f t="shared" si="99"/>
        <v>0</v>
      </c>
      <c r="CG46" s="35">
        <f t="shared" si="99"/>
        <v>0</v>
      </c>
      <c r="CH46" s="35">
        <f t="shared" si="103"/>
        <v>0</v>
      </c>
      <c r="CI46" s="35">
        <f>SUM(CI47:CI48)</f>
        <v>0</v>
      </c>
      <c r="CJ46" s="35">
        <f>SUM(CJ47:CJ48)</f>
        <v>0</v>
      </c>
      <c r="CK46" s="35">
        <f t="shared" si="103"/>
        <v>0</v>
      </c>
      <c r="CL46" s="35">
        <f t="shared" si="99"/>
        <v>0</v>
      </c>
      <c r="CM46" s="35">
        <f t="shared" si="99"/>
        <v>0</v>
      </c>
      <c r="CN46" s="35">
        <f t="shared" si="99"/>
        <v>0</v>
      </c>
      <c r="CO46" s="35">
        <f>SUM(CO47:CO48)</f>
        <v>0</v>
      </c>
      <c r="CP46" s="35">
        <f>SUM(CP47:CP48)</f>
        <v>0</v>
      </c>
      <c r="CQ46" s="35">
        <f>SUM(CQ47:CQ48)</f>
        <v>0</v>
      </c>
      <c r="CR46" s="35">
        <f>SUM(CR47:CR48)</f>
        <v>0</v>
      </c>
      <c r="CS46" s="35">
        <f>SUM(CS47:CS48)</f>
        <v>0</v>
      </c>
      <c r="CT46" s="35">
        <f>SUM(CT47:CT48)</f>
        <v>0</v>
      </c>
      <c r="CU46" s="35">
        <f>SUM(CU47:CU48)</f>
        <v>0</v>
      </c>
      <c r="CV46" s="35">
        <f>SUM(CV47:CV48)</f>
        <v>0</v>
      </c>
      <c r="CW46" s="35">
        <f>SUM(CW47:CW48)</f>
        <v>0</v>
      </c>
      <c r="CX46" s="37">
        <f t="shared" ref="CX46:CZ50" si="104">SUM(BK46,BN46,BQ46,BT46,CC46,BW46,CF46,CI46,CO46,CR46,CU46,CL46,BZ46)</f>
        <v>0</v>
      </c>
      <c r="CY46" s="37">
        <f t="shared" si="104"/>
        <v>0</v>
      </c>
      <c r="CZ46" s="37">
        <f t="shared" si="104"/>
        <v>0</v>
      </c>
      <c r="DA46" s="35">
        <f t="shared" si="100"/>
        <v>0</v>
      </c>
      <c r="DB46" s="35">
        <f t="shared" si="100"/>
        <v>0</v>
      </c>
      <c r="DC46" s="35">
        <f t="shared" si="100"/>
        <v>0</v>
      </c>
      <c r="DD46" s="35">
        <f t="shared" si="100"/>
        <v>0</v>
      </c>
      <c r="DE46" s="35">
        <f t="shared" si="100"/>
        <v>0</v>
      </c>
      <c r="DF46" s="35">
        <f t="shared" si="100"/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f t="shared" ref="DM46:DM58" si="105">SUM(DA46,DD46,DG46)</f>
        <v>0</v>
      </c>
      <c r="DN46" s="35">
        <f t="shared" ref="DN46:DN58" si="106">SUM(DB46,DE46,DH46)</f>
        <v>0</v>
      </c>
      <c r="DO46" s="35">
        <f t="shared" ref="DO46:DO58" si="107">SUM(DC46,DF46,DI46)</f>
        <v>0</v>
      </c>
      <c r="DP46" s="35">
        <v>194276</v>
      </c>
      <c r="DQ46" s="35">
        <v>228211</v>
      </c>
      <c r="DR46" s="36">
        <v>180803</v>
      </c>
      <c r="DS46" s="35">
        <f>SUM(DS47:DS48)</f>
        <v>0</v>
      </c>
      <c r="DT46" s="35"/>
      <c r="DU46" s="35">
        <f>SUM(DU47:DU48)</f>
        <v>0</v>
      </c>
      <c r="DV46" s="37">
        <f t="shared" ref="DV46:DX50" si="108">SUM(DP46,DS46)</f>
        <v>194276</v>
      </c>
      <c r="DW46" s="37">
        <f t="shared" si="108"/>
        <v>228211</v>
      </c>
      <c r="DX46" s="37">
        <f t="shared" si="108"/>
        <v>180803</v>
      </c>
      <c r="DY46" s="37">
        <f t="shared" ref="DY46:EA50" si="109">SUM(I46,X46,AV46,BH46,CX46,DM46,DV46)</f>
        <v>194276</v>
      </c>
      <c r="DZ46" s="37">
        <f t="shared" si="109"/>
        <v>228211</v>
      </c>
      <c r="EA46" s="37">
        <f t="shared" si="109"/>
        <v>180803</v>
      </c>
      <c r="EB46" s="34" t="s">
        <v>136</v>
      </c>
    </row>
    <row r="47" spans="1:138">
      <c r="A47" s="33" t="s">
        <v>137</v>
      </c>
      <c r="B47" s="34" t="s">
        <v>138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41">
        <f>SUM(C47,F47)</f>
        <v>0</v>
      </c>
      <c r="J47" s="41">
        <f>SUM(D47,G47)</f>
        <v>0</v>
      </c>
      <c r="K47" s="41">
        <f>SUM(E47,H47)</f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7">
        <f t="shared" si="44"/>
        <v>0</v>
      </c>
      <c r="Y47" s="37">
        <f t="shared" si="45"/>
        <v>0</v>
      </c>
      <c r="Z47" s="37">
        <f t="shared" si="46"/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6">
        <v>0</v>
      </c>
      <c r="AK47" s="35">
        <v>0</v>
      </c>
      <c r="AL47" s="35">
        <v>0</v>
      </c>
      <c r="AM47" s="41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7">
        <f t="shared" si="101"/>
        <v>0</v>
      </c>
      <c r="AW47" s="37">
        <f t="shared" si="101"/>
        <v>0</v>
      </c>
      <c r="AX47" s="37">
        <f t="shared" si="101"/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7">
        <f t="shared" si="102"/>
        <v>0</v>
      </c>
      <c r="BI47" s="37">
        <f t="shared" si="102"/>
        <v>0</v>
      </c>
      <c r="BJ47" s="37">
        <f t="shared" si="102"/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0</v>
      </c>
      <c r="CV47" s="35">
        <v>0</v>
      </c>
      <c r="CW47" s="35">
        <v>0</v>
      </c>
      <c r="CX47" s="37">
        <f t="shared" si="104"/>
        <v>0</v>
      </c>
      <c r="CY47" s="37">
        <f t="shared" si="104"/>
        <v>0</v>
      </c>
      <c r="CZ47" s="37">
        <f t="shared" si="104"/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0</v>
      </c>
      <c r="DF47" s="35">
        <v>0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0</v>
      </c>
      <c r="DM47" s="35">
        <f t="shared" si="105"/>
        <v>0</v>
      </c>
      <c r="DN47" s="35">
        <f t="shared" si="106"/>
        <v>0</v>
      </c>
      <c r="DO47" s="35">
        <f t="shared" si="107"/>
        <v>0</v>
      </c>
      <c r="DP47" s="35">
        <v>0</v>
      </c>
      <c r="DQ47" s="35">
        <v>0</v>
      </c>
      <c r="DR47" s="35">
        <v>0</v>
      </c>
      <c r="DS47" s="35">
        <v>0</v>
      </c>
      <c r="DT47" s="35">
        <v>0</v>
      </c>
      <c r="DU47" s="35">
        <v>0</v>
      </c>
      <c r="DV47" s="37">
        <f t="shared" si="108"/>
        <v>0</v>
      </c>
      <c r="DW47" s="37">
        <f t="shared" si="108"/>
        <v>0</v>
      </c>
      <c r="DX47" s="37">
        <f t="shared" si="108"/>
        <v>0</v>
      </c>
      <c r="DY47" s="37">
        <f t="shared" si="109"/>
        <v>0</v>
      </c>
      <c r="DZ47" s="37">
        <f t="shared" si="109"/>
        <v>0</v>
      </c>
      <c r="EA47" s="37">
        <f t="shared" si="109"/>
        <v>0</v>
      </c>
      <c r="EB47" s="34" t="s">
        <v>138</v>
      </c>
    </row>
    <row r="48" spans="1:138" s="32" customFormat="1">
      <c r="A48" s="39" t="s">
        <v>139</v>
      </c>
      <c r="B48" s="25" t="s">
        <v>140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f t="shared" ref="I48:K50" si="110">SUM(C48,F48,)</f>
        <v>0</v>
      </c>
      <c r="J48" s="41">
        <f t="shared" si="110"/>
        <v>0</v>
      </c>
      <c r="K48" s="41">
        <f t="shared" si="110"/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57">
        <f t="shared" si="44"/>
        <v>0</v>
      </c>
      <c r="Y48" s="57">
        <f t="shared" si="45"/>
        <v>0</v>
      </c>
      <c r="Z48" s="57">
        <f t="shared" si="46"/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2">
        <v>0</v>
      </c>
      <c r="AK48" s="41">
        <v>0</v>
      </c>
      <c r="AL48" s="41">
        <v>0</v>
      </c>
      <c r="AM48" s="41"/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37">
        <f t="shared" si="101"/>
        <v>0</v>
      </c>
      <c r="AW48" s="37">
        <f t="shared" si="101"/>
        <v>0</v>
      </c>
      <c r="AX48" s="37">
        <f t="shared" si="101"/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37">
        <f t="shared" si="102"/>
        <v>0</v>
      </c>
      <c r="BI48" s="37">
        <f t="shared" si="102"/>
        <v>0</v>
      </c>
      <c r="BJ48" s="37">
        <f t="shared" si="102"/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37">
        <f t="shared" si="104"/>
        <v>0</v>
      </c>
      <c r="CY48" s="37">
        <f t="shared" si="104"/>
        <v>0</v>
      </c>
      <c r="CZ48" s="37">
        <f t="shared" si="104"/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473960</v>
      </c>
      <c r="DH48" s="42">
        <f>473960+18938</f>
        <v>492898</v>
      </c>
      <c r="DI48" s="41">
        <v>569296</v>
      </c>
      <c r="DJ48" s="41"/>
      <c r="DK48" s="42"/>
      <c r="DL48" s="41"/>
      <c r="DM48" s="41">
        <f t="shared" si="105"/>
        <v>473960</v>
      </c>
      <c r="DN48" s="41">
        <f t="shared" si="106"/>
        <v>492898</v>
      </c>
      <c r="DO48" s="41">
        <f t="shared" si="107"/>
        <v>569296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37">
        <f t="shared" si="108"/>
        <v>0</v>
      </c>
      <c r="DW48" s="37">
        <f t="shared" si="108"/>
        <v>0</v>
      </c>
      <c r="DX48" s="37">
        <f t="shared" si="108"/>
        <v>0</v>
      </c>
      <c r="DY48" s="57">
        <f t="shared" si="109"/>
        <v>473960</v>
      </c>
      <c r="DZ48" s="57">
        <f t="shared" si="109"/>
        <v>492898</v>
      </c>
      <c r="EA48" s="57">
        <f t="shared" si="109"/>
        <v>569296</v>
      </c>
      <c r="EB48" s="25" t="s">
        <v>140</v>
      </c>
      <c r="EE48" s="2"/>
      <c r="EF48" s="2"/>
      <c r="EG48" s="2"/>
      <c r="EH48" s="2"/>
    </row>
    <row r="49" spans="1:138" s="32" customFormat="1">
      <c r="A49" s="39" t="s">
        <v>141</v>
      </c>
      <c r="B49" s="25" t="s">
        <v>142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f t="shared" si="110"/>
        <v>0</v>
      </c>
      <c r="J49" s="41">
        <f t="shared" si="110"/>
        <v>0</v>
      </c>
      <c r="K49" s="41">
        <f t="shared" si="110"/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120</v>
      </c>
      <c r="S49" s="41">
        <v>120</v>
      </c>
      <c r="T49" s="41">
        <v>200</v>
      </c>
      <c r="U49" s="41">
        <v>0</v>
      </c>
      <c r="V49" s="41">
        <v>0</v>
      </c>
      <c r="W49" s="41">
        <v>0</v>
      </c>
      <c r="X49" s="57">
        <f t="shared" si="44"/>
        <v>120</v>
      </c>
      <c r="Y49" s="57">
        <f t="shared" si="45"/>
        <v>120</v>
      </c>
      <c r="Z49" s="57">
        <f t="shared" si="46"/>
        <v>200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2">
        <v>0</v>
      </c>
      <c r="AK49" s="41">
        <v>0</v>
      </c>
      <c r="AL49" s="41">
        <v>0</v>
      </c>
      <c r="AM49" s="41">
        <v>180</v>
      </c>
      <c r="AN49" s="41">
        <v>180</v>
      </c>
      <c r="AO49" s="41">
        <v>180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37">
        <f t="shared" si="101"/>
        <v>180</v>
      </c>
      <c r="AW49" s="37">
        <f t="shared" si="101"/>
        <v>180</v>
      </c>
      <c r="AX49" s="37">
        <f t="shared" si="101"/>
        <v>180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37">
        <f t="shared" si="102"/>
        <v>0</v>
      </c>
      <c r="BI49" s="37">
        <f t="shared" si="102"/>
        <v>0</v>
      </c>
      <c r="BJ49" s="37">
        <f t="shared" si="102"/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0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37">
        <f t="shared" si="104"/>
        <v>0</v>
      </c>
      <c r="CY49" s="37">
        <f t="shared" si="104"/>
        <v>0</v>
      </c>
      <c r="CZ49" s="37">
        <f t="shared" si="104"/>
        <v>0</v>
      </c>
      <c r="DA49" s="41">
        <v>220</v>
      </c>
      <c r="DB49" s="41">
        <v>220</v>
      </c>
      <c r="DC49" s="41">
        <v>220</v>
      </c>
      <c r="DD49" s="41">
        <v>0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f t="shared" si="105"/>
        <v>220</v>
      </c>
      <c r="DN49" s="41">
        <f t="shared" si="106"/>
        <v>220</v>
      </c>
      <c r="DO49" s="41">
        <f t="shared" si="107"/>
        <v>220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37">
        <f t="shared" si="108"/>
        <v>0</v>
      </c>
      <c r="DW49" s="37">
        <f t="shared" si="108"/>
        <v>0</v>
      </c>
      <c r="DX49" s="37">
        <f t="shared" si="108"/>
        <v>0</v>
      </c>
      <c r="DY49" s="57">
        <f t="shared" si="109"/>
        <v>520</v>
      </c>
      <c r="DZ49" s="57">
        <f t="shared" si="109"/>
        <v>520</v>
      </c>
      <c r="EA49" s="57">
        <f t="shared" si="109"/>
        <v>600</v>
      </c>
      <c r="EB49" s="25" t="s">
        <v>142</v>
      </c>
      <c r="EE49" s="2"/>
      <c r="EF49" s="2"/>
      <c r="EG49" s="2"/>
      <c r="EH49" s="2"/>
    </row>
    <row r="50" spans="1:138" s="32" customFormat="1">
      <c r="A50" s="39" t="s">
        <v>143</v>
      </c>
      <c r="B50" s="25" t="s">
        <v>144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f t="shared" si="110"/>
        <v>0</v>
      </c>
      <c r="J50" s="41">
        <f t="shared" si="110"/>
        <v>0</v>
      </c>
      <c r="K50" s="41">
        <f t="shared" si="110"/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57">
        <f t="shared" si="44"/>
        <v>0</v>
      </c>
      <c r="Y50" s="57">
        <f t="shared" si="45"/>
        <v>0</v>
      </c>
      <c r="Z50" s="57">
        <f t="shared" si="46"/>
        <v>0</v>
      </c>
      <c r="AA50" s="41">
        <v>0</v>
      </c>
      <c r="AB50" s="41"/>
      <c r="AC50" s="41">
        <v>0</v>
      </c>
      <c r="AD50" s="41">
        <v>0</v>
      </c>
      <c r="AE50" s="41">
        <v>0</v>
      </c>
      <c r="AF50" s="41">
        <v>0</v>
      </c>
      <c r="AG50" s="83">
        <v>223986</v>
      </c>
      <c r="AH50" s="83">
        <f>223986+194245</f>
        <v>418231</v>
      </c>
      <c r="AI50" s="83">
        <f>1473+1591+194245</f>
        <v>197309</v>
      </c>
      <c r="AJ50" s="83">
        <v>0</v>
      </c>
      <c r="AK50" s="83">
        <v>0</v>
      </c>
      <c r="AL50" s="83">
        <v>0</v>
      </c>
      <c r="AM50" s="83">
        <v>0</v>
      </c>
      <c r="AN50" s="83">
        <v>0</v>
      </c>
      <c r="AO50" s="83">
        <v>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3">
        <v>0</v>
      </c>
      <c r="AV50" s="87">
        <f t="shared" si="101"/>
        <v>223986</v>
      </c>
      <c r="AW50" s="37">
        <f t="shared" si="101"/>
        <v>418231</v>
      </c>
      <c r="AX50" s="37">
        <f t="shared" si="101"/>
        <v>197309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57">
        <f t="shared" si="102"/>
        <v>0</v>
      </c>
      <c r="BI50" s="57">
        <f t="shared" si="102"/>
        <v>0</v>
      </c>
      <c r="BJ50" s="57">
        <f t="shared" si="102"/>
        <v>0</v>
      </c>
      <c r="BK50" s="41">
        <v>0</v>
      </c>
      <c r="BL50" s="41"/>
      <c r="BM50" s="41">
        <v>0</v>
      </c>
      <c r="BN50" s="41">
        <v>0</v>
      </c>
      <c r="BO50" s="41">
        <v>0</v>
      </c>
      <c r="BP50" s="41">
        <v>0</v>
      </c>
      <c r="BQ50" s="41">
        <v>25160</v>
      </c>
      <c r="BR50" s="60">
        <v>25160</v>
      </c>
      <c r="BS50" s="41">
        <v>0</v>
      </c>
      <c r="BT50" s="41"/>
      <c r="BU50" s="41"/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  <c r="CF50" s="41"/>
      <c r="CG50" s="41"/>
      <c r="CH50" s="41"/>
      <c r="CI50" s="41">
        <f>5058+114942</f>
        <v>120000</v>
      </c>
      <c r="CJ50" s="41">
        <f>5058+114942</f>
        <v>120000</v>
      </c>
      <c r="CK50" s="41">
        <v>160000</v>
      </c>
      <c r="CL50" s="41"/>
      <c r="CM50" s="41"/>
      <c r="CN50" s="41"/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57">
        <f t="shared" si="104"/>
        <v>145160</v>
      </c>
      <c r="CY50" s="57">
        <f t="shared" si="104"/>
        <v>145160</v>
      </c>
      <c r="CZ50" s="57">
        <f t="shared" si="104"/>
        <v>160000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f t="shared" si="105"/>
        <v>0</v>
      </c>
      <c r="DN50" s="41">
        <f t="shared" si="106"/>
        <v>0</v>
      </c>
      <c r="DO50" s="41">
        <f t="shared" si="107"/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37">
        <f t="shared" si="108"/>
        <v>0</v>
      </c>
      <c r="DW50" s="37">
        <f t="shared" si="108"/>
        <v>0</v>
      </c>
      <c r="DX50" s="37">
        <f t="shared" si="108"/>
        <v>0</v>
      </c>
      <c r="DY50" s="57">
        <f t="shared" si="109"/>
        <v>369146</v>
      </c>
      <c r="DZ50" s="57">
        <f t="shared" si="109"/>
        <v>563391</v>
      </c>
      <c r="EA50" s="57">
        <f t="shared" si="109"/>
        <v>357309</v>
      </c>
      <c r="EB50" s="25" t="s">
        <v>144</v>
      </c>
      <c r="EE50" s="2"/>
      <c r="EF50" s="2"/>
      <c r="EG50" s="2"/>
      <c r="EH50" s="2"/>
    </row>
    <row r="51" spans="1:138" s="32" customFormat="1">
      <c r="A51" s="39" t="s">
        <v>145</v>
      </c>
      <c r="B51" s="25" t="s">
        <v>146</v>
      </c>
      <c r="C51" s="41">
        <f t="shared" ref="C51:T51" si="111">SUM(C52:C58)</f>
        <v>0</v>
      </c>
      <c r="D51" s="41">
        <f t="shared" si="111"/>
        <v>0</v>
      </c>
      <c r="E51" s="41">
        <f t="shared" si="111"/>
        <v>0</v>
      </c>
      <c r="F51" s="41">
        <f>SUM(F52:F58)</f>
        <v>0</v>
      </c>
      <c r="G51" s="41">
        <f>SUM(G52:G58)</f>
        <v>0</v>
      </c>
      <c r="H51" s="41">
        <f>SUM(H52:H58)</f>
        <v>0</v>
      </c>
      <c r="I51" s="41">
        <f t="shared" si="111"/>
        <v>0</v>
      </c>
      <c r="J51" s="41">
        <f t="shared" si="111"/>
        <v>0</v>
      </c>
      <c r="K51" s="41">
        <f t="shared" si="111"/>
        <v>0</v>
      </c>
      <c r="L51" s="41">
        <f t="shared" si="111"/>
        <v>0</v>
      </c>
      <c r="M51" s="41">
        <f t="shared" si="111"/>
        <v>0</v>
      </c>
      <c r="N51" s="41">
        <f t="shared" si="111"/>
        <v>0</v>
      </c>
      <c r="O51" s="41">
        <f>SUM(O52:O58)</f>
        <v>0</v>
      </c>
      <c r="P51" s="41">
        <f>SUM(P52:P58)</f>
        <v>0</v>
      </c>
      <c r="Q51" s="41">
        <f t="shared" si="111"/>
        <v>0</v>
      </c>
      <c r="R51" s="41">
        <f t="shared" si="111"/>
        <v>0</v>
      </c>
      <c r="S51" s="41">
        <f>SUM(S52:S58)</f>
        <v>0</v>
      </c>
      <c r="T51" s="41">
        <f t="shared" si="111"/>
        <v>0</v>
      </c>
      <c r="U51" s="41">
        <f>SUM(U52:U58)</f>
        <v>0</v>
      </c>
      <c r="V51" s="41">
        <f>SUM(V52:V57)</f>
        <v>0</v>
      </c>
      <c r="W51" s="41">
        <f t="shared" ref="W51:Z51" si="112">SUM(W52:W58)</f>
        <v>0</v>
      </c>
      <c r="X51" s="41">
        <f t="shared" si="112"/>
        <v>0</v>
      </c>
      <c r="Y51" s="41">
        <f t="shared" si="112"/>
        <v>0</v>
      </c>
      <c r="Z51" s="41">
        <f t="shared" si="112"/>
        <v>0</v>
      </c>
      <c r="AA51" s="42">
        <f>SUM(AA52:AA58)</f>
        <v>13777</v>
      </c>
      <c r="AB51" s="83">
        <f>SUM(AB52:AB58)</f>
        <v>70403</v>
      </c>
      <c r="AC51" s="41">
        <f>SUM(AC52:AC58)</f>
        <v>0</v>
      </c>
      <c r="AD51" s="41">
        <f>SUM(AD52:AD58)</f>
        <v>0</v>
      </c>
      <c r="AE51" s="41">
        <f>SUM(AE52:AE57)</f>
        <v>0</v>
      </c>
      <c r="AF51" s="41">
        <f t="shared" ref="AF51:AJ51" si="113">SUM(AF52:AF58)</f>
        <v>0</v>
      </c>
      <c r="AG51" s="83">
        <f t="shared" si="113"/>
        <v>26610</v>
      </c>
      <c r="AH51" s="83">
        <f t="shared" si="113"/>
        <v>62612</v>
      </c>
      <c r="AI51" s="83">
        <f t="shared" si="113"/>
        <v>0</v>
      </c>
      <c r="AJ51" s="83">
        <f t="shared" si="113"/>
        <v>16000</v>
      </c>
      <c r="AK51" s="83">
        <f>SUM(AK52:AK57)</f>
        <v>39659</v>
      </c>
      <c r="AL51" s="83">
        <f>SUM(AL52:AL58)</f>
        <v>0</v>
      </c>
      <c r="AM51" s="83">
        <f>SUM(AM52:AM58)</f>
        <v>0</v>
      </c>
      <c r="AN51" s="83">
        <f>SUM(AN52:AN57)</f>
        <v>10981</v>
      </c>
      <c r="AO51" s="83">
        <f>SUM(AO52:AO58)</f>
        <v>0</v>
      </c>
      <c r="AP51" s="83">
        <f>SUM(AP52:AP58)</f>
        <v>0</v>
      </c>
      <c r="AQ51" s="83">
        <f>SUM(AQ52:AQ57)</f>
        <v>0</v>
      </c>
      <c r="AR51" s="83">
        <f>SUM(AR52:AR58)</f>
        <v>0</v>
      </c>
      <c r="AS51" s="83">
        <f>SUM(AS52:AS58)</f>
        <v>0</v>
      </c>
      <c r="AT51" s="83">
        <f>SUM(AT52:AT57)</f>
        <v>0</v>
      </c>
      <c r="AU51" s="83">
        <f t="shared" ref="AU51:BK51" si="114">SUM(AU52:AU58)</f>
        <v>0</v>
      </c>
      <c r="AV51" s="83">
        <f t="shared" si="114"/>
        <v>56387</v>
      </c>
      <c r="AW51" s="41">
        <f t="shared" si="114"/>
        <v>183655</v>
      </c>
      <c r="AX51" s="41">
        <f t="shared" si="114"/>
        <v>0</v>
      </c>
      <c r="AY51" s="41">
        <f t="shared" si="114"/>
        <v>0</v>
      </c>
      <c r="AZ51" s="41">
        <f t="shared" si="114"/>
        <v>0</v>
      </c>
      <c r="BA51" s="41">
        <f t="shared" si="114"/>
        <v>0</v>
      </c>
      <c r="BB51" s="41">
        <f t="shared" si="114"/>
        <v>1500</v>
      </c>
      <c r="BC51" s="41">
        <f t="shared" si="114"/>
        <v>1500</v>
      </c>
      <c r="BD51" s="41">
        <f t="shared" si="114"/>
        <v>0</v>
      </c>
      <c r="BE51" s="41">
        <f t="shared" si="114"/>
        <v>1500</v>
      </c>
      <c r="BF51" s="41">
        <f t="shared" si="114"/>
        <v>1500</v>
      </c>
      <c r="BG51" s="41">
        <f t="shared" si="114"/>
        <v>0</v>
      </c>
      <c r="BH51" s="41">
        <f t="shared" si="114"/>
        <v>3000</v>
      </c>
      <c r="BI51" s="41">
        <f t="shared" si="114"/>
        <v>3000</v>
      </c>
      <c r="BJ51" s="41">
        <f t="shared" si="114"/>
        <v>0</v>
      </c>
      <c r="BK51" s="41">
        <f t="shared" si="114"/>
        <v>0</v>
      </c>
      <c r="BL51" s="41">
        <f>SUM(BL52:BL57)</f>
        <v>0</v>
      </c>
      <c r="BM51" s="41">
        <f t="shared" ref="BM51:BV51" si="115">SUM(BM52:BM58)</f>
        <v>0</v>
      </c>
      <c r="BN51" s="41">
        <f t="shared" si="115"/>
        <v>0</v>
      </c>
      <c r="BO51" s="41">
        <f t="shared" si="115"/>
        <v>0</v>
      </c>
      <c r="BP51" s="41">
        <f t="shared" si="115"/>
        <v>0</v>
      </c>
      <c r="BQ51" s="42">
        <f t="shared" si="115"/>
        <v>12400</v>
      </c>
      <c r="BR51" s="42">
        <f>SUM(BR52:BR57)</f>
        <v>12400</v>
      </c>
      <c r="BS51" s="41">
        <f t="shared" si="115"/>
        <v>28600</v>
      </c>
      <c r="BT51" s="41">
        <f>SUM(BT52:BT58)</f>
        <v>2000</v>
      </c>
      <c r="BU51" s="41">
        <f>SUM(BU52:BU58)</f>
        <v>2000</v>
      </c>
      <c r="BV51" s="41">
        <f t="shared" si="115"/>
        <v>8500</v>
      </c>
      <c r="BW51" s="41">
        <f>SUM(BW52:BW58)</f>
        <v>0</v>
      </c>
      <c r="BX51" s="41">
        <f t="shared" ref="BX51:CK51" si="116">SUM(BX52:BX58)</f>
        <v>0</v>
      </c>
      <c r="BY51" s="41">
        <f t="shared" si="116"/>
        <v>0</v>
      </c>
      <c r="BZ51" s="41">
        <f>SUM(BZ52:BZ58)</f>
        <v>0</v>
      </c>
      <c r="CA51" s="41">
        <f>SUM(CA52:CA58)</f>
        <v>0</v>
      </c>
      <c r="CB51" s="41">
        <f>SUM(CB52:CB58)</f>
        <v>13000</v>
      </c>
      <c r="CC51" s="41">
        <f t="shared" si="116"/>
        <v>0</v>
      </c>
      <c r="CD51" s="41">
        <f t="shared" si="116"/>
        <v>0</v>
      </c>
      <c r="CE51" s="41">
        <f t="shared" si="116"/>
        <v>0</v>
      </c>
      <c r="CF51" s="41">
        <f>SUM(CF52:CF58)</f>
        <v>0</v>
      </c>
      <c r="CG51" s="41">
        <f>SUM(CG52:CG58)</f>
        <v>0</v>
      </c>
      <c r="CH51" s="41">
        <f t="shared" si="116"/>
        <v>0</v>
      </c>
      <c r="CI51" s="42">
        <f>SUM(CI52:CI58)</f>
        <v>4000</v>
      </c>
      <c r="CJ51" s="42">
        <f>SUM(CJ52:CJ58)</f>
        <v>4000</v>
      </c>
      <c r="CK51" s="41">
        <f t="shared" si="116"/>
        <v>4000</v>
      </c>
      <c r="CL51" s="42">
        <f>SUM(CL52:CL58)</f>
        <v>0</v>
      </c>
      <c r="CM51" s="41">
        <f>SUM(CM52:CM58)</f>
        <v>0</v>
      </c>
      <c r="CN51" s="41">
        <f>SUM(CN52:CN58)</f>
        <v>10000</v>
      </c>
      <c r="CO51" s="42">
        <f>SUM(CO52:CO58)</f>
        <v>10800</v>
      </c>
      <c r="CP51" s="41">
        <f>SUM(CP52:CP57)</f>
        <v>10800</v>
      </c>
      <c r="CQ51" s="41">
        <f>SUM(CQ52:CQ58)</f>
        <v>0</v>
      </c>
      <c r="CR51" s="41">
        <f>SUM(CR52:CR58)</f>
        <v>35000</v>
      </c>
      <c r="CS51" s="41">
        <f>SUM(CS52:CS57)</f>
        <v>35000</v>
      </c>
      <c r="CT51" s="41">
        <f>SUM(CT52:CT58)</f>
        <v>59400</v>
      </c>
      <c r="CU51" s="41">
        <f>SUM(CU52:CU58)</f>
        <v>0</v>
      </c>
      <c r="CV51" s="41">
        <f>SUM(CV52:CV57)</f>
        <v>0</v>
      </c>
      <c r="CW51" s="41">
        <f t="shared" ref="CW51:DA51" si="117">SUM(CW52:CW58)</f>
        <v>0</v>
      </c>
      <c r="CX51" s="41">
        <f t="shared" si="117"/>
        <v>64200</v>
      </c>
      <c r="CY51" s="41">
        <f t="shared" si="117"/>
        <v>64200</v>
      </c>
      <c r="CZ51" s="41">
        <f t="shared" si="117"/>
        <v>123500</v>
      </c>
      <c r="DA51" s="41">
        <f t="shared" si="117"/>
        <v>0</v>
      </c>
      <c r="DB51" s="41">
        <f>SUM(DB52:DB57)</f>
        <v>0</v>
      </c>
      <c r="DC51" s="41">
        <f>SUM(DC52:DC58)</f>
        <v>0</v>
      </c>
      <c r="DD51" s="41">
        <f>SUM(DD52:DD58)</f>
        <v>0</v>
      </c>
      <c r="DE51" s="41">
        <f>SUM(DE52:DE57)</f>
        <v>0</v>
      </c>
      <c r="DF51" s="41">
        <f t="shared" ref="DF51:DI51" si="118">SUM(DF52:DF58)</f>
        <v>0</v>
      </c>
      <c r="DG51" s="41">
        <f t="shared" si="118"/>
        <v>0</v>
      </c>
      <c r="DH51" s="41">
        <f t="shared" si="118"/>
        <v>0</v>
      </c>
      <c r="DI51" s="41">
        <f t="shared" si="118"/>
        <v>0</v>
      </c>
      <c r="DJ51" s="41">
        <f>SUM(DJ52:DJ58)</f>
        <v>0</v>
      </c>
      <c r="DK51" s="41">
        <f>SUM(DK52:DK58)</f>
        <v>0</v>
      </c>
      <c r="DL51" s="41">
        <f>SUM(DL52:DL58)</f>
        <v>0</v>
      </c>
      <c r="DM51" s="35">
        <f t="shared" si="105"/>
        <v>0</v>
      </c>
      <c r="DN51" s="35">
        <f t="shared" si="106"/>
        <v>0</v>
      </c>
      <c r="DO51" s="35">
        <f t="shared" si="107"/>
        <v>0</v>
      </c>
      <c r="DP51" s="41">
        <f>SUM(DP52:DP58)</f>
        <v>0</v>
      </c>
      <c r="DQ51" s="41">
        <f>SUM(DQ52:DQ57)</f>
        <v>0</v>
      </c>
      <c r="DR51" s="41">
        <f>SUM(DR52:DR58)</f>
        <v>0</v>
      </c>
      <c r="DS51" s="41">
        <f>SUM(DS52:DS58)</f>
        <v>0</v>
      </c>
      <c r="DT51" s="41">
        <f>SUM(DT52:DT57)</f>
        <v>0</v>
      </c>
      <c r="DU51" s="41">
        <f>SUM(DU52:DU58)</f>
        <v>0</v>
      </c>
      <c r="DV51" s="41">
        <f t="shared" ref="DV51:EA51" si="119">SUM(DV52:DV58)</f>
        <v>0</v>
      </c>
      <c r="DW51" s="41">
        <f t="shared" si="119"/>
        <v>0</v>
      </c>
      <c r="DX51" s="41">
        <f t="shared" si="119"/>
        <v>0</v>
      </c>
      <c r="DY51" s="41">
        <f t="shared" si="119"/>
        <v>123587</v>
      </c>
      <c r="DZ51" s="41">
        <f t="shared" si="119"/>
        <v>250855</v>
      </c>
      <c r="EA51" s="41">
        <f t="shared" si="119"/>
        <v>123500</v>
      </c>
      <c r="EB51" s="25" t="s">
        <v>146</v>
      </c>
      <c r="EE51" s="2"/>
      <c r="EF51" s="2"/>
      <c r="EG51" s="2"/>
      <c r="EH51" s="2"/>
    </row>
    <row r="52" spans="1:138">
      <c r="A52" s="33" t="s">
        <v>147</v>
      </c>
      <c r="B52" s="34" t="s">
        <v>148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f t="shared" ref="I52:K58" si="120">SUM(C52,F52,)</f>
        <v>0</v>
      </c>
      <c r="J52" s="35">
        <f t="shared" si="120"/>
        <v>0</v>
      </c>
      <c r="K52" s="35">
        <f t="shared" si="120"/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7">
        <f t="shared" ref="X52:Z58" si="121">SUM(L52,O52,R52,U52)</f>
        <v>0</v>
      </c>
      <c r="Y52" s="37">
        <f t="shared" si="121"/>
        <v>0</v>
      </c>
      <c r="Z52" s="37">
        <f t="shared" si="121"/>
        <v>0</v>
      </c>
      <c r="AA52" s="36">
        <f>1290+6000</f>
        <v>7290</v>
      </c>
      <c r="AB52" s="81">
        <f>7290+20944</f>
        <v>28234</v>
      </c>
      <c r="AC52" s="35"/>
      <c r="AD52" s="35">
        <v>0</v>
      </c>
      <c r="AE52" s="35">
        <v>0</v>
      </c>
      <c r="AF52" s="35">
        <v>0</v>
      </c>
      <c r="AG52" s="81">
        <v>4150</v>
      </c>
      <c r="AH52" s="81">
        <f>4150+850+15000+11041</f>
        <v>31041</v>
      </c>
      <c r="AI52" s="81"/>
      <c r="AJ52" s="81">
        <v>16000</v>
      </c>
      <c r="AK52" s="81">
        <f>16000+5000-1200+3000</f>
        <v>22800</v>
      </c>
      <c r="AL52" s="81"/>
      <c r="AM52" s="81">
        <v>0</v>
      </c>
      <c r="AN52" s="81">
        <v>10981</v>
      </c>
      <c r="AO52" s="81">
        <v>0</v>
      </c>
      <c r="AP52" s="81">
        <v>0</v>
      </c>
      <c r="AQ52" s="81">
        <v>0</v>
      </c>
      <c r="AR52" s="81">
        <v>0</v>
      </c>
      <c r="AS52" s="81">
        <v>0</v>
      </c>
      <c r="AT52" s="81">
        <v>0</v>
      </c>
      <c r="AU52" s="81">
        <v>0</v>
      </c>
      <c r="AV52" s="87">
        <f t="shared" ref="AV52:AX58" si="122">SUM(AA52,AD52,AG52,AJ52,AM52,AP52,AS52)</f>
        <v>27440</v>
      </c>
      <c r="AW52" s="37">
        <f t="shared" si="122"/>
        <v>93056</v>
      </c>
      <c r="AX52" s="37">
        <f t="shared" si="122"/>
        <v>0</v>
      </c>
      <c r="AY52" s="35">
        <v>0</v>
      </c>
      <c r="AZ52" s="35">
        <v>0</v>
      </c>
      <c r="BA52" s="35">
        <v>0</v>
      </c>
      <c r="BB52" s="35">
        <v>1500</v>
      </c>
      <c r="BC52" s="35">
        <v>1500</v>
      </c>
      <c r="BD52" s="35">
        <v>0</v>
      </c>
      <c r="BE52" s="35">
        <v>1500</v>
      </c>
      <c r="BF52" s="35">
        <v>1500</v>
      </c>
      <c r="BG52" s="35">
        <v>0</v>
      </c>
      <c r="BH52" s="37">
        <f t="shared" ref="BH52:BJ58" si="123">SUM(AY52,BB52,BE52)</f>
        <v>3000</v>
      </c>
      <c r="BI52" s="37">
        <f t="shared" si="123"/>
        <v>3000</v>
      </c>
      <c r="BJ52" s="37">
        <f t="shared" si="123"/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51"/>
      <c r="BR52" s="51"/>
      <c r="BS52" s="35">
        <v>0</v>
      </c>
      <c r="BT52" s="35">
        <v>2000</v>
      </c>
      <c r="BU52" s="35">
        <v>2000</v>
      </c>
      <c r="BV52" s="35">
        <v>2500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13000</v>
      </c>
      <c r="CC52" s="35">
        <v>0</v>
      </c>
      <c r="CD52" s="35">
        <v>0</v>
      </c>
      <c r="CE52" s="35">
        <v>0</v>
      </c>
      <c r="CF52" s="35">
        <v>0</v>
      </c>
      <c r="CG52" s="35">
        <v>0</v>
      </c>
      <c r="CH52" s="35">
        <v>0</v>
      </c>
      <c r="CI52" s="36">
        <v>4000</v>
      </c>
      <c r="CJ52" s="36">
        <v>4000</v>
      </c>
      <c r="CK52" s="35">
        <v>4000</v>
      </c>
      <c r="CL52" s="36"/>
      <c r="CM52" s="35">
        <v>0</v>
      </c>
      <c r="CN52" s="35">
        <v>10000</v>
      </c>
      <c r="CO52" s="36">
        <v>7200</v>
      </c>
      <c r="CP52" s="36">
        <v>7200</v>
      </c>
      <c r="CQ52" s="35"/>
      <c r="CR52" s="35">
        <v>0</v>
      </c>
      <c r="CS52" s="35"/>
      <c r="CT52" s="35">
        <v>10800</v>
      </c>
      <c r="CU52" s="35">
        <v>0</v>
      </c>
      <c r="CV52" s="35">
        <v>0</v>
      </c>
      <c r="CW52" s="35">
        <v>0</v>
      </c>
      <c r="CX52" s="37">
        <f t="shared" ref="CX52:CZ58" si="124">SUM(BK52,BN52,BQ52,BT52,CC52,BW52,CF52,CI52,CO52,CR52,CU52,CL52,BZ52)</f>
        <v>13200</v>
      </c>
      <c r="CY52" s="37">
        <f t="shared" si="124"/>
        <v>13200</v>
      </c>
      <c r="CZ52" s="37">
        <f t="shared" si="124"/>
        <v>40300</v>
      </c>
      <c r="DA52" s="35"/>
      <c r="DB52" s="35"/>
      <c r="DC52" s="35"/>
      <c r="DD52" s="35">
        <v>0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f t="shared" si="105"/>
        <v>0</v>
      </c>
      <c r="DN52" s="35">
        <f t="shared" si="106"/>
        <v>0</v>
      </c>
      <c r="DO52" s="35">
        <f t="shared" si="107"/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7">
        <f t="shared" ref="DV52:DX58" si="125">SUM(DP52,DS52)</f>
        <v>0</v>
      </c>
      <c r="DW52" s="37">
        <f t="shared" si="125"/>
        <v>0</v>
      </c>
      <c r="DX52" s="37">
        <f t="shared" si="125"/>
        <v>0</v>
      </c>
      <c r="DY52" s="37">
        <f t="shared" ref="DY52:EA58" si="126">SUM(I52,X52,AV52,BH52,CX52,DM52,DV52)</f>
        <v>43640</v>
      </c>
      <c r="DZ52" s="37">
        <f t="shared" si="126"/>
        <v>109256</v>
      </c>
      <c r="EA52" s="37">
        <f t="shared" si="126"/>
        <v>40300</v>
      </c>
      <c r="EB52" s="34" t="s">
        <v>148</v>
      </c>
    </row>
    <row r="53" spans="1:138">
      <c r="A53" s="33" t="s">
        <v>149</v>
      </c>
      <c r="B53" s="34" t="s">
        <v>150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f t="shared" si="120"/>
        <v>0</v>
      </c>
      <c r="J53" s="35">
        <f t="shared" si="120"/>
        <v>0</v>
      </c>
      <c r="K53" s="35">
        <f t="shared" si="120"/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7">
        <f t="shared" si="121"/>
        <v>0</v>
      </c>
      <c r="Y53" s="37">
        <f t="shared" si="121"/>
        <v>0</v>
      </c>
      <c r="Z53" s="37">
        <f t="shared" si="121"/>
        <v>0</v>
      </c>
      <c r="AA53" s="36">
        <v>0</v>
      </c>
      <c r="AB53" s="81">
        <v>0</v>
      </c>
      <c r="AC53" s="35">
        <v>0</v>
      </c>
      <c r="AD53" s="35">
        <v>0</v>
      </c>
      <c r="AE53" s="35">
        <v>0</v>
      </c>
      <c r="AF53" s="35">
        <v>0</v>
      </c>
      <c r="AG53" s="81"/>
      <c r="AH53" s="81"/>
      <c r="AI53" s="81"/>
      <c r="AJ53" s="81">
        <v>0</v>
      </c>
      <c r="AK53" s="81"/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7">
        <f t="shared" si="122"/>
        <v>0</v>
      </c>
      <c r="AW53" s="37">
        <f t="shared" si="122"/>
        <v>0</v>
      </c>
      <c r="AX53" s="37">
        <f t="shared" si="122"/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7">
        <f t="shared" si="123"/>
        <v>0</v>
      </c>
      <c r="BI53" s="37">
        <f t="shared" si="123"/>
        <v>0</v>
      </c>
      <c r="BJ53" s="37">
        <f t="shared" si="123"/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51"/>
      <c r="BR53" s="51"/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6">
        <v>0</v>
      </c>
      <c r="CP53" s="36">
        <v>0</v>
      </c>
      <c r="CQ53" s="35"/>
      <c r="CR53" s="35">
        <v>0</v>
      </c>
      <c r="CS53" s="35"/>
      <c r="CT53" s="35"/>
      <c r="CU53" s="35">
        <v>0</v>
      </c>
      <c r="CV53" s="35">
        <v>0</v>
      </c>
      <c r="CW53" s="35">
        <v>0</v>
      </c>
      <c r="CX53" s="37">
        <f t="shared" si="124"/>
        <v>0</v>
      </c>
      <c r="CY53" s="37">
        <f t="shared" si="124"/>
        <v>0</v>
      </c>
      <c r="CZ53" s="37">
        <f t="shared" si="124"/>
        <v>0</v>
      </c>
      <c r="DA53" s="35"/>
      <c r="DB53" s="35"/>
      <c r="DC53" s="35"/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f t="shared" si="105"/>
        <v>0</v>
      </c>
      <c r="DN53" s="35">
        <f t="shared" si="106"/>
        <v>0</v>
      </c>
      <c r="DO53" s="35">
        <f t="shared" si="107"/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7">
        <f t="shared" si="125"/>
        <v>0</v>
      </c>
      <c r="DW53" s="37">
        <f t="shared" si="125"/>
        <v>0</v>
      </c>
      <c r="DX53" s="37">
        <f t="shared" si="125"/>
        <v>0</v>
      </c>
      <c r="DY53" s="37">
        <f t="shared" si="126"/>
        <v>0</v>
      </c>
      <c r="DZ53" s="37">
        <f t="shared" si="126"/>
        <v>0</v>
      </c>
      <c r="EA53" s="37">
        <f t="shared" si="126"/>
        <v>0</v>
      </c>
      <c r="EB53" s="34" t="s">
        <v>150</v>
      </c>
    </row>
    <row r="54" spans="1:138">
      <c r="A54" s="33" t="s">
        <v>151</v>
      </c>
      <c r="B54" s="34" t="s">
        <v>152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f t="shared" si="120"/>
        <v>0</v>
      </c>
      <c r="J54" s="35">
        <f t="shared" si="120"/>
        <v>0</v>
      </c>
      <c r="K54" s="35">
        <f t="shared" si="120"/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7">
        <f t="shared" si="121"/>
        <v>0</v>
      </c>
      <c r="Y54" s="37">
        <f t="shared" si="121"/>
        <v>0</v>
      </c>
      <c r="Z54" s="37">
        <f t="shared" si="121"/>
        <v>0</v>
      </c>
      <c r="AA54" s="36">
        <v>6487</v>
      </c>
      <c r="AB54" s="81">
        <f>6487+2700-3992+1405+3992+12537+19040</f>
        <v>42169</v>
      </c>
      <c r="AC54" s="35"/>
      <c r="AD54" s="35">
        <v>0</v>
      </c>
      <c r="AE54" s="35">
        <v>0</v>
      </c>
      <c r="AF54" s="35">
        <v>0</v>
      </c>
      <c r="AG54" s="81">
        <v>0</v>
      </c>
      <c r="AH54" s="81">
        <f>2700+8000+1305-4314</f>
        <v>7691</v>
      </c>
      <c r="AI54" s="81">
        <v>0</v>
      </c>
      <c r="AJ54" s="81">
        <v>0</v>
      </c>
      <c r="AK54" s="81">
        <f>5452+9207</f>
        <v>14659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7">
        <f t="shared" si="122"/>
        <v>6487</v>
      </c>
      <c r="AW54" s="37">
        <f t="shared" si="122"/>
        <v>64519</v>
      </c>
      <c r="AX54" s="37">
        <f t="shared" si="122"/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7">
        <f t="shared" si="123"/>
        <v>0</v>
      </c>
      <c r="BI54" s="37">
        <f t="shared" si="123"/>
        <v>0</v>
      </c>
      <c r="BJ54" s="37">
        <f t="shared" si="123"/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49">
        <v>10000</v>
      </c>
      <c r="BR54" s="49">
        <v>10000</v>
      </c>
      <c r="BS54" s="35">
        <v>3600</v>
      </c>
      <c r="BT54" s="35"/>
      <c r="BU54" s="35"/>
      <c r="BV54" s="35">
        <v>6000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0</v>
      </c>
      <c r="CC54" s="35">
        <v>0</v>
      </c>
      <c r="CD54" s="35"/>
      <c r="CE54" s="35">
        <v>0</v>
      </c>
      <c r="CF54" s="35">
        <v>0</v>
      </c>
      <c r="CG54" s="35">
        <v>0</v>
      </c>
      <c r="CH54" s="35">
        <v>0</v>
      </c>
      <c r="CI54" s="35"/>
      <c r="CJ54" s="35"/>
      <c r="CK54" s="35"/>
      <c r="CL54" s="35"/>
      <c r="CM54" s="35"/>
      <c r="CN54" s="35"/>
      <c r="CO54" s="36">
        <v>3600</v>
      </c>
      <c r="CP54" s="36">
        <v>3600</v>
      </c>
      <c r="CQ54" s="35"/>
      <c r="CR54" s="35">
        <v>0</v>
      </c>
      <c r="CS54" s="35"/>
      <c r="CT54" s="35">
        <v>3600</v>
      </c>
      <c r="CU54" s="35">
        <v>0</v>
      </c>
      <c r="CV54" s="35">
        <v>0</v>
      </c>
      <c r="CW54" s="35">
        <v>0</v>
      </c>
      <c r="CX54" s="37">
        <f t="shared" si="124"/>
        <v>13600</v>
      </c>
      <c r="CY54" s="37">
        <f t="shared" si="124"/>
        <v>13600</v>
      </c>
      <c r="CZ54" s="37">
        <f t="shared" si="124"/>
        <v>13200</v>
      </c>
      <c r="DA54" s="35"/>
      <c r="DB54" s="35"/>
      <c r="DC54" s="35"/>
      <c r="DD54" s="35">
        <v>0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f t="shared" si="105"/>
        <v>0</v>
      </c>
      <c r="DN54" s="35">
        <f t="shared" si="106"/>
        <v>0</v>
      </c>
      <c r="DO54" s="35">
        <f t="shared" si="107"/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7">
        <f t="shared" si="125"/>
        <v>0</v>
      </c>
      <c r="DW54" s="37">
        <f t="shared" si="125"/>
        <v>0</v>
      </c>
      <c r="DX54" s="37">
        <f t="shared" si="125"/>
        <v>0</v>
      </c>
      <c r="DY54" s="37">
        <f t="shared" si="126"/>
        <v>20087</v>
      </c>
      <c r="DZ54" s="37">
        <f t="shared" si="126"/>
        <v>78119</v>
      </c>
      <c r="EA54" s="37">
        <f t="shared" si="126"/>
        <v>13200</v>
      </c>
      <c r="EB54" s="34" t="s">
        <v>152</v>
      </c>
    </row>
    <row r="55" spans="1:138">
      <c r="A55" s="33" t="s">
        <v>153</v>
      </c>
      <c r="B55" s="34" t="s">
        <v>154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f t="shared" si="120"/>
        <v>0</v>
      </c>
      <c r="J55" s="35">
        <f t="shared" si="120"/>
        <v>0</v>
      </c>
      <c r="K55" s="35">
        <f t="shared" si="120"/>
        <v>0</v>
      </c>
      <c r="L55" s="35">
        <v>0</v>
      </c>
      <c r="M55" s="35"/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7">
        <f t="shared" si="121"/>
        <v>0</v>
      </c>
      <c r="Y55" s="37">
        <f t="shared" si="121"/>
        <v>0</v>
      </c>
      <c r="Z55" s="37">
        <f t="shared" si="121"/>
        <v>0</v>
      </c>
      <c r="AA55" s="35">
        <v>0</v>
      </c>
      <c r="AB55" s="81"/>
      <c r="AC55" s="35">
        <v>0</v>
      </c>
      <c r="AD55" s="35">
        <v>0</v>
      </c>
      <c r="AE55" s="35">
        <v>0</v>
      </c>
      <c r="AF55" s="35">
        <v>0</v>
      </c>
      <c r="AG55" s="81">
        <v>0</v>
      </c>
      <c r="AH55" s="81"/>
      <c r="AI55" s="81">
        <v>0</v>
      </c>
      <c r="AJ55" s="81">
        <v>0</v>
      </c>
      <c r="AK55" s="81"/>
      <c r="AL55" s="81">
        <v>0</v>
      </c>
      <c r="AM55" s="81">
        <v>0</v>
      </c>
      <c r="AN55" s="81">
        <v>0</v>
      </c>
      <c r="AO55" s="81">
        <v>0</v>
      </c>
      <c r="AP55" s="81">
        <v>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7">
        <f t="shared" si="122"/>
        <v>0</v>
      </c>
      <c r="AW55" s="37">
        <f t="shared" si="122"/>
        <v>0</v>
      </c>
      <c r="AX55" s="37">
        <f t="shared" si="122"/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7">
        <f t="shared" si="123"/>
        <v>0</v>
      </c>
      <c r="BI55" s="37">
        <f t="shared" si="123"/>
        <v>0</v>
      </c>
      <c r="BJ55" s="37">
        <f t="shared" si="123"/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51"/>
      <c r="BR55" s="51"/>
      <c r="BS55" s="35"/>
      <c r="BT55" s="35"/>
      <c r="BU55" s="35"/>
      <c r="BV55" s="35"/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/>
      <c r="CQ55" s="35">
        <v>0</v>
      </c>
      <c r="CR55" s="35">
        <v>35000</v>
      </c>
      <c r="CS55" s="35">
        <v>35000</v>
      </c>
      <c r="CT55" s="35">
        <v>45000</v>
      </c>
      <c r="CU55" s="35">
        <v>0</v>
      </c>
      <c r="CV55" s="35">
        <v>0</v>
      </c>
      <c r="CW55" s="35">
        <v>0</v>
      </c>
      <c r="CX55" s="37">
        <f t="shared" si="124"/>
        <v>35000</v>
      </c>
      <c r="CY55" s="37">
        <f t="shared" si="124"/>
        <v>35000</v>
      </c>
      <c r="CZ55" s="37">
        <f t="shared" si="124"/>
        <v>45000</v>
      </c>
      <c r="DA55" s="35">
        <v>0</v>
      </c>
      <c r="DB55" s="35">
        <v>0</v>
      </c>
      <c r="DC55" s="35">
        <v>0</v>
      </c>
      <c r="DD55" s="35">
        <v>0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f t="shared" si="105"/>
        <v>0</v>
      </c>
      <c r="DN55" s="35">
        <f t="shared" si="106"/>
        <v>0</v>
      </c>
      <c r="DO55" s="35">
        <f t="shared" si="107"/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7">
        <f t="shared" si="125"/>
        <v>0</v>
      </c>
      <c r="DW55" s="37">
        <f t="shared" si="125"/>
        <v>0</v>
      </c>
      <c r="DX55" s="37">
        <f t="shared" si="125"/>
        <v>0</v>
      </c>
      <c r="DY55" s="37">
        <f t="shared" si="126"/>
        <v>35000</v>
      </c>
      <c r="DZ55" s="37">
        <f t="shared" si="126"/>
        <v>35000</v>
      </c>
      <c r="EA55" s="37">
        <f t="shared" si="126"/>
        <v>45000</v>
      </c>
      <c r="EB55" s="34" t="s">
        <v>154</v>
      </c>
    </row>
    <row r="56" spans="1:138">
      <c r="A56" s="33" t="s">
        <v>155</v>
      </c>
      <c r="B56" s="34" t="s">
        <v>156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f t="shared" si="120"/>
        <v>0</v>
      </c>
      <c r="J56" s="35">
        <f t="shared" si="120"/>
        <v>0</v>
      </c>
      <c r="K56" s="35">
        <f t="shared" si="120"/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7">
        <f t="shared" si="121"/>
        <v>0</v>
      </c>
      <c r="Y56" s="37">
        <f t="shared" si="121"/>
        <v>0</v>
      </c>
      <c r="Z56" s="37">
        <f t="shared" si="121"/>
        <v>0</v>
      </c>
      <c r="AA56" s="35"/>
      <c r="AB56" s="81">
        <f>3992-3992</f>
        <v>0</v>
      </c>
      <c r="AC56" s="35"/>
      <c r="AD56" s="35">
        <v>0</v>
      </c>
      <c r="AE56" s="35">
        <v>0</v>
      </c>
      <c r="AF56" s="35">
        <v>0</v>
      </c>
      <c r="AG56" s="81">
        <v>22460</v>
      </c>
      <c r="AH56" s="81">
        <f>22460+1420</f>
        <v>23880</v>
      </c>
      <c r="AI56" s="81"/>
      <c r="AJ56" s="81">
        <v>0</v>
      </c>
      <c r="AK56" s="81">
        <v>2200</v>
      </c>
      <c r="AL56" s="81">
        <v>0</v>
      </c>
      <c r="AM56" s="81">
        <v>0</v>
      </c>
      <c r="AN56" s="81"/>
      <c r="AO56" s="81">
        <v>0</v>
      </c>
      <c r="AP56" s="81">
        <v>0</v>
      </c>
      <c r="AQ56" s="81">
        <v>0</v>
      </c>
      <c r="AR56" s="81">
        <v>0</v>
      </c>
      <c r="AS56" s="81">
        <v>0</v>
      </c>
      <c r="AT56" s="81">
        <v>0</v>
      </c>
      <c r="AU56" s="81">
        <v>0</v>
      </c>
      <c r="AV56" s="87">
        <f t="shared" si="122"/>
        <v>22460</v>
      </c>
      <c r="AW56" s="37">
        <f t="shared" si="122"/>
        <v>26080</v>
      </c>
      <c r="AX56" s="37">
        <f t="shared" si="122"/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7">
        <f t="shared" si="123"/>
        <v>0</v>
      </c>
      <c r="BI56" s="37">
        <f t="shared" si="123"/>
        <v>0</v>
      </c>
      <c r="BJ56" s="37">
        <f t="shared" si="123"/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49">
        <v>2400</v>
      </c>
      <c r="BR56" s="49">
        <v>2400</v>
      </c>
      <c r="BS56" s="35">
        <v>25000</v>
      </c>
      <c r="BT56" s="35"/>
      <c r="BU56" s="35"/>
      <c r="BV56" s="35"/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/>
      <c r="CR56" s="35">
        <v>0</v>
      </c>
      <c r="CS56" s="35"/>
      <c r="CT56" s="35">
        <v>0</v>
      </c>
      <c r="CU56" s="35">
        <v>0</v>
      </c>
      <c r="CV56" s="35">
        <v>0</v>
      </c>
      <c r="CW56" s="35">
        <v>0</v>
      </c>
      <c r="CX56" s="37">
        <f t="shared" si="124"/>
        <v>2400</v>
      </c>
      <c r="CY56" s="37">
        <f t="shared" si="124"/>
        <v>2400</v>
      </c>
      <c r="CZ56" s="37">
        <f t="shared" si="124"/>
        <v>25000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f t="shared" si="105"/>
        <v>0</v>
      </c>
      <c r="DN56" s="35">
        <f t="shared" si="106"/>
        <v>0</v>
      </c>
      <c r="DO56" s="35">
        <f t="shared" si="107"/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7">
        <f t="shared" si="125"/>
        <v>0</v>
      </c>
      <c r="DW56" s="37">
        <f t="shared" si="125"/>
        <v>0</v>
      </c>
      <c r="DX56" s="37">
        <f t="shared" si="125"/>
        <v>0</v>
      </c>
      <c r="DY56" s="37">
        <f t="shared" si="126"/>
        <v>24860</v>
      </c>
      <c r="DZ56" s="37">
        <f t="shared" si="126"/>
        <v>28480</v>
      </c>
      <c r="EA56" s="37">
        <f t="shared" si="126"/>
        <v>25000</v>
      </c>
      <c r="EB56" s="34" t="s">
        <v>156</v>
      </c>
    </row>
    <row r="57" spans="1:138">
      <c r="A57" s="33" t="s">
        <v>157</v>
      </c>
      <c r="B57" s="34" t="s">
        <v>158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f t="shared" si="120"/>
        <v>0</v>
      </c>
      <c r="J57" s="35">
        <f t="shared" si="120"/>
        <v>0</v>
      </c>
      <c r="K57" s="35">
        <f t="shared" si="120"/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35"/>
      <c r="W57" s="35"/>
      <c r="X57" s="37">
        <f t="shared" si="121"/>
        <v>0</v>
      </c>
      <c r="Y57" s="37">
        <f t="shared" si="121"/>
        <v>0</v>
      </c>
      <c r="Z57" s="37">
        <f t="shared" si="121"/>
        <v>0</v>
      </c>
      <c r="AA57" s="35">
        <v>0</v>
      </c>
      <c r="AB57" s="36">
        <v>0</v>
      </c>
      <c r="AC57" s="35">
        <v>0</v>
      </c>
      <c r="AD57" s="35">
        <v>0</v>
      </c>
      <c r="AE57" s="35">
        <v>0</v>
      </c>
      <c r="AF57" s="35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81">
        <v>0</v>
      </c>
      <c r="AT57" s="81">
        <v>0</v>
      </c>
      <c r="AU57" s="81">
        <v>0</v>
      </c>
      <c r="AV57" s="87">
        <f t="shared" si="122"/>
        <v>0</v>
      </c>
      <c r="AW57" s="37">
        <f t="shared" si="122"/>
        <v>0</v>
      </c>
      <c r="AX57" s="37">
        <f t="shared" si="122"/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7">
        <f t="shared" si="123"/>
        <v>0</v>
      </c>
      <c r="BI57" s="37">
        <f t="shared" si="123"/>
        <v>0</v>
      </c>
      <c r="BJ57" s="37">
        <f t="shared" si="123"/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49"/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35">
        <v>0</v>
      </c>
      <c r="BX57" s="35">
        <v>0</v>
      </c>
      <c r="BY57" s="35">
        <v>0</v>
      </c>
      <c r="BZ57" s="35">
        <v>0</v>
      </c>
      <c r="CA57" s="35">
        <v>0</v>
      </c>
      <c r="CB57" s="35">
        <v>0</v>
      </c>
      <c r="CC57" s="35">
        <v>0</v>
      </c>
      <c r="CD57" s="35">
        <v>0</v>
      </c>
      <c r="CE57" s="35">
        <v>0</v>
      </c>
      <c r="CF57" s="35">
        <v>0</v>
      </c>
      <c r="CG57" s="35">
        <v>0</v>
      </c>
      <c r="CH57" s="35">
        <v>0</v>
      </c>
      <c r="CI57" s="35">
        <v>0</v>
      </c>
      <c r="CJ57" s="35">
        <v>0</v>
      </c>
      <c r="CK57" s="35">
        <v>0</v>
      </c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35"/>
      <c r="CT57" s="35">
        <v>0</v>
      </c>
      <c r="CU57" s="35">
        <v>0</v>
      </c>
      <c r="CV57" s="35">
        <v>0</v>
      </c>
      <c r="CW57" s="35">
        <v>0</v>
      </c>
      <c r="CX57" s="37">
        <f t="shared" si="124"/>
        <v>0</v>
      </c>
      <c r="CY57" s="37">
        <f t="shared" si="124"/>
        <v>0</v>
      </c>
      <c r="CZ57" s="37">
        <f t="shared" si="124"/>
        <v>0</v>
      </c>
      <c r="DA57" s="35">
        <v>0</v>
      </c>
      <c r="DB57" s="35">
        <v>0</v>
      </c>
      <c r="DC57" s="35">
        <v>0</v>
      </c>
      <c r="DD57" s="35">
        <v>0</v>
      </c>
      <c r="DE57" s="35">
        <v>0</v>
      </c>
      <c r="DF57" s="35">
        <v>0</v>
      </c>
      <c r="DG57" s="35">
        <v>0</v>
      </c>
      <c r="DH57" s="35">
        <v>0</v>
      </c>
      <c r="DI57" s="35">
        <v>0</v>
      </c>
      <c r="DJ57" s="35">
        <v>0</v>
      </c>
      <c r="DK57" s="35">
        <v>0</v>
      </c>
      <c r="DL57" s="35">
        <v>0</v>
      </c>
      <c r="DM57" s="35">
        <f t="shared" si="105"/>
        <v>0</v>
      </c>
      <c r="DN57" s="35">
        <f t="shared" si="106"/>
        <v>0</v>
      </c>
      <c r="DO57" s="35">
        <f t="shared" si="107"/>
        <v>0</v>
      </c>
      <c r="DP57" s="35">
        <v>0</v>
      </c>
      <c r="DQ57" s="35">
        <v>0</v>
      </c>
      <c r="DR57" s="35">
        <v>0</v>
      </c>
      <c r="DS57" s="35">
        <v>0</v>
      </c>
      <c r="DT57" s="35">
        <v>0</v>
      </c>
      <c r="DU57" s="35">
        <v>0</v>
      </c>
      <c r="DV57" s="37">
        <f t="shared" si="125"/>
        <v>0</v>
      </c>
      <c r="DW57" s="37">
        <f t="shared" si="125"/>
        <v>0</v>
      </c>
      <c r="DX57" s="37">
        <f t="shared" si="125"/>
        <v>0</v>
      </c>
      <c r="DY57" s="37">
        <f t="shared" si="126"/>
        <v>0</v>
      </c>
      <c r="DZ57" s="37">
        <f t="shared" si="126"/>
        <v>0</v>
      </c>
      <c r="EA57" s="37">
        <f t="shared" si="126"/>
        <v>0</v>
      </c>
      <c r="EB57" s="34" t="s">
        <v>158</v>
      </c>
    </row>
    <row r="58" spans="1:138">
      <c r="A58" s="33" t="s">
        <v>159</v>
      </c>
      <c r="B58" s="34" t="s">
        <v>160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f t="shared" si="120"/>
        <v>0</v>
      </c>
      <c r="J58" s="35">
        <f t="shared" si="120"/>
        <v>0</v>
      </c>
      <c r="K58" s="35">
        <f t="shared" si="120"/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7">
        <f t="shared" si="121"/>
        <v>0</v>
      </c>
      <c r="Y58" s="37">
        <f t="shared" si="121"/>
        <v>0</v>
      </c>
      <c r="Z58" s="37">
        <f t="shared" si="121"/>
        <v>0</v>
      </c>
      <c r="AA58" s="35">
        <v>0</v>
      </c>
      <c r="AB58" s="42"/>
      <c r="AC58" s="35">
        <v>0</v>
      </c>
      <c r="AD58" s="35">
        <v>0</v>
      </c>
      <c r="AE58" s="35">
        <v>0</v>
      </c>
      <c r="AF58" s="35">
        <v>0</v>
      </c>
      <c r="AG58" s="81">
        <v>0</v>
      </c>
      <c r="AH58" s="81">
        <v>0</v>
      </c>
      <c r="AI58" s="81">
        <v>0</v>
      </c>
      <c r="AJ58" s="81">
        <v>0</v>
      </c>
      <c r="AK58" s="83"/>
      <c r="AL58" s="81">
        <v>0</v>
      </c>
      <c r="AM58" s="81">
        <v>0</v>
      </c>
      <c r="AN58" s="81">
        <v>0</v>
      </c>
      <c r="AO58" s="81">
        <v>0</v>
      </c>
      <c r="AP58" s="81">
        <v>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7">
        <f t="shared" si="122"/>
        <v>0</v>
      </c>
      <c r="AW58" s="37">
        <f t="shared" si="122"/>
        <v>0</v>
      </c>
      <c r="AX58" s="37">
        <f t="shared" si="122"/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7">
        <f t="shared" si="123"/>
        <v>0</v>
      </c>
      <c r="BI58" s="37">
        <f t="shared" si="123"/>
        <v>0</v>
      </c>
      <c r="BJ58" s="37">
        <f t="shared" si="123"/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0</v>
      </c>
      <c r="BY58" s="35">
        <v>0</v>
      </c>
      <c r="BZ58" s="35">
        <v>0</v>
      </c>
      <c r="CA58" s="35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</v>
      </c>
      <c r="CU58" s="35">
        <v>0</v>
      </c>
      <c r="CV58" s="35">
        <v>0</v>
      </c>
      <c r="CW58" s="35">
        <v>0</v>
      </c>
      <c r="CX58" s="37">
        <f t="shared" si="124"/>
        <v>0</v>
      </c>
      <c r="CY58" s="37">
        <f t="shared" si="124"/>
        <v>0</v>
      </c>
      <c r="CZ58" s="37">
        <f t="shared" si="124"/>
        <v>0</v>
      </c>
      <c r="DA58" s="35">
        <v>0</v>
      </c>
      <c r="DB58" s="35">
        <v>0</v>
      </c>
      <c r="DC58" s="35">
        <v>0</v>
      </c>
      <c r="DD58" s="35">
        <v>0</v>
      </c>
      <c r="DE58" s="35">
        <v>0</v>
      </c>
      <c r="DF58" s="35">
        <v>0</v>
      </c>
      <c r="DG58" s="35">
        <v>0</v>
      </c>
      <c r="DH58" s="35">
        <v>0</v>
      </c>
      <c r="DI58" s="35">
        <v>0</v>
      </c>
      <c r="DJ58" s="35">
        <v>0</v>
      </c>
      <c r="DK58" s="35">
        <v>0</v>
      </c>
      <c r="DL58" s="35">
        <v>0</v>
      </c>
      <c r="DM58" s="35">
        <f t="shared" si="105"/>
        <v>0</v>
      </c>
      <c r="DN58" s="35">
        <f t="shared" si="106"/>
        <v>0</v>
      </c>
      <c r="DO58" s="35">
        <f t="shared" si="107"/>
        <v>0</v>
      </c>
      <c r="DP58" s="35">
        <v>0</v>
      </c>
      <c r="DQ58" s="35">
        <v>0</v>
      </c>
      <c r="DR58" s="35">
        <v>0</v>
      </c>
      <c r="DS58" s="35">
        <v>0</v>
      </c>
      <c r="DT58" s="35">
        <v>0</v>
      </c>
      <c r="DU58" s="35">
        <v>0</v>
      </c>
      <c r="DV58" s="37">
        <f t="shared" si="125"/>
        <v>0</v>
      </c>
      <c r="DW58" s="37">
        <f t="shared" si="125"/>
        <v>0</v>
      </c>
      <c r="DX58" s="37">
        <f t="shared" si="125"/>
        <v>0</v>
      </c>
      <c r="DY58" s="37">
        <f t="shared" si="126"/>
        <v>0</v>
      </c>
      <c r="DZ58" s="37">
        <f t="shared" si="126"/>
        <v>0</v>
      </c>
      <c r="EA58" s="37">
        <f t="shared" si="126"/>
        <v>0</v>
      </c>
      <c r="EB58" s="34" t="s">
        <v>160</v>
      </c>
    </row>
    <row r="59" spans="1:138" s="32" customFormat="1">
      <c r="A59" s="39" t="s">
        <v>161</v>
      </c>
      <c r="B59" s="25" t="s">
        <v>162</v>
      </c>
      <c r="C59" s="41">
        <f t="shared" ref="C59:AX59" si="127">SUM(C60:C61)</f>
        <v>0</v>
      </c>
      <c r="D59" s="41">
        <f t="shared" si="127"/>
        <v>0</v>
      </c>
      <c r="E59" s="41">
        <f t="shared" si="127"/>
        <v>0</v>
      </c>
      <c r="F59" s="41">
        <f t="shared" si="127"/>
        <v>0</v>
      </c>
      <c r="G59" s="41">
        <f t="shared" si="127"/>
        <v>0</v>
      </c>
      <c r="H59" s="41">
        <f t="shared" si="127"/>
        <v>0</v>
      </c>
      <c r="I59" s="41">
        <f t="shared" si="127"/>
        <v>0</v>
      </c>
      <c r="J59" s="41">
        <f t="shared" si="127"/>
        <v>0</v>
      </c>
      <c r="K59" s="41">
        <f t="shared" si="127"/>
        <v>0</v>
      </c>
      <c r="L59" s="41">
        <f t="shared" si="127"/>
        <v>0</v>
      </c>
      <c r="M59" s="41">
        <f t="shared" si="127"/>
        <v>0</v>
      </c>
      <c r="N59" s="41">
        <f t="shared" si="127"/>
        <v>0</v>
      </c>
      <c r="O59" s="41">
        <f>SUM(O60:O61)</f>
        <v>0</v>
      </c>
      <c r="P59" s="41">
        <f>SUM(P60:P61)</f>
        <v>0</v>
      </c>
      <c r="Q59" s="41">
        <f t="shared" si="127"/>
        <v>0</v>
      </c>
      <c r="R59" s="41">
        <f>SUM(R60:R61)</f>
        <v>0</v>
      </c>
      <c r="S59" s="41">
        <f>SUM(S60:S61)</f>
        <v>0</v>
      </c>
      <c r="T59" s="41">
        <f t="shared" si="127"/>
        <v>0</v>
      </c>
      <c r="U59" s="41">
        <f>SUM(U60:U61)</f>
        <v>0</v>
      </c>
      <c r="V59" s="41">
        <f>SUM(V60:V61)</f>
        <v>0</v>
      </c>
      <c r="W59" s="41">
        <f t="shared" si="127"/>
        <v>0</v>
      </c>
      <c r="X59" s="41">
        <f t="shared" si="127"/>
        <v>0</v>
      </c>
      <c r="Y59" s="41">
        <f t="shared" si="127"/>
        <v>0</v>
      </c>
      <c r="Z59" s="41">
        <f t="shared" si="127"/>
        <v>0</v>
      </c>
      <c r="AA59" s="41">
        <f t="shared" si="127"/>
        <v>0</v>
      </c>
      <c r="AB59" s="41">
        <f>SUM(AB60:AB61)</f>
        <v>384</v>
      </c>
      <c r="AC59" s="41">
        <f t="shared" si="127"/>
        <v>0</v>
      </c>
      <c r="AD59" s="41">
        <f t="shared" si="127"/>
        <v>0</v>
      </c>
      <c r="AE59" s="41">
        <f t="shared" si="127"/>
        <v>0</v>
      </c>
      <c r="AF59" s="41">
        <f t="shared" si="127"/>
        <v>0</v>
      </c>
      <c r="AG59" s="83">
        <f t="shared" si="127"/>
        <v>0</v>
      </c>
      <c r="AH59" s="83">
        <f t="shared" si="127"/>
        <v>0</v>
      </c>
      <c r="AI59" s="83">
        <f t="shared" si="127"/>
        <v>0</v>
      </c>
      <c r="AJ59" s="83">
        <f t="shared" si="127"/>
        <v>1100</v>
      </c>
      <c r="AK59" s="83">
        <f t="shared" si="127"/>
        <v>16000</v>
      </c>
      <c r="AL59" s="83">
        <f t="shared" si="127"/>
        <v>0</v>
      </c>
      <c r="AM59" s="83">
        <f t="shared" si="127"/>
        <v>0</v>
      </c>
      <c r="AN59" s="83">
        <f t="shared" si="127"/>
        <v>0</v>
      </c>
      <c r="AO59" s="83">
        <f t="shared" si="127"/>
        <v>0</v>
      </c>
      <c r="AP59" s="83">
        <f t="shared" si="127"/>
        <v>0</v>
      </c>
      <c r="AQ59" s="83">
        <f t="shared" si="127"/>
        <v>0</v>
      </c>
      <c r="AR59" s="83">
        <f t="shared" si="127"/>
        <v>0</v>
      </c>
      <c r="AS59" s="83">
        <f t="shared" si="127"/>
        <v>0</v>
      </c>
      <c r="AT59" s="83">
        <f t="shared" si="127"/>
        <v>0</v>
      </c>
      <c r="AU59" s="83">
        <f t="shared" si="127"/>
        <v>0</v>
      </c>
      <c r="AV59" s="83">
        <f t="shared" si="127"/>
        <v>1100</v>
      </c>
      <c r="AW59" s="41">
        <f t="shared" si="127"/>
        <v>16384</v>
      </c>
      <c r="AX59" s="41">
        <f t="shared" si="127"/>
        <v>0</v>
      </c>
      <c r="AY59" s="41">
        <f t="shared" ref="AY59:BV59" si="128">SUM(AY60:AY61)</f>
        <v>0</v>
      </c>
      <c r="AZ59" s="41">
        <f t="shared" si="128"/>
        <v>0</v>
      </c>
      <c r="BA59" s="41">
        <f t="shared" si="128"/>
        <v>0</v>
      </c>
      <c r="BB59" s="41">
        <f t="shared" si="128"/>
        <v>0</v>
      </c>
      <c r="BC59" s="41">
        <f t="shared" si="128"/>
        <v>0</v>
      </c>
      <c r="BD59" s="41">
        <f t="shared" si="128"/>
        <v>0</v>
      </c>
      <c r="BE59" s="41">
        <f t="shared" si="128"/>
        <v>0</v>
      </c>
      <c r="BF59" s="41">
        <f t="shared" si="128"/>
        <v>0</v>
      </c>
      <c r="BG59" s="41">
        <f t="shared" si="128"/>
        <v>0</v>
      </c>
      <c r="BH59" s="41">
        <f t="shared" si="128"/>
        <v>0</v>
      </c>
      <c r="BI59" s="41">
        <f t="shared" si="128"/>
        <v>0</v>
      </c>
      <c r="BJ59" s="41">
        <f t="shared" si="128"/>
        <v>0</v>
      </c>
      <c r="BK59" s="41">
        <f t="shared" si="128"/>
        <v>0</v>
      </c>
      <c r="BL59" s="41">
        <f t="shared" si="128"/>
        <v>0</v>
      </c>
      <c r="BM59" s="41">
        <f t="shared" si="128"/>
        <v>0</v>
      </c>
      <c r="BN59" s="41">
        <f>SUM(BN60:BN61)</f>
        <v>0</v>
      </c>
      <c r="BO59" s="41">
        <f t="shared" si="128"/>
        <v>0</v>
      </c>
      <c r="BP59" s="41">
        <f t="shared" si="128"/>
        <v>0</v>
      </c>
      <c r="BQ59" s="41">
        <f>SUM(BQ60:BQ61)</f>
        <v>0</v>
      </c>
      <c r="BR59" s="41">
        <f t="shared" si="128"/>
        <v>0</v>
      </c>
      <c r="BS59" s="41">
        <f t="shared" si="128"/>
        <v>0</v>
      </c>
      <c r="BT59" s="41">
        <f>SUM(BT60:BT61)</f>
        <v>800</v>
      </c>
      <c r="BU59" s="41">
        <f>SUM(BU60:BU61)</f>
        <v>800</v>
      </c>
      <c r="BV59" s="41">
        <f t="shared" si="128"/>
        <v>1000</v>
      </c>
      <c r="BW59" s="41">
        <f>SUM(BW60:BW61)</f>
        <v>0</v>
      </c>
      <c r="BX59" s="41">
        <f t="shared" ref="BX59:EA59" si="129">SUM(BX60:BX61)</f>
        <v>0</v>
      </c>
      <c r="BY59" s="41">
        <f t="shared" si="129"/>
        <v>0</v>
      </c>
      <c r="BZ59" s="41">
        <f>SUM(BZ60:BZ61)</f>
        <v>0</v>
      </c>
      <c r="CA59" s="41">
        <f>SUM(CA60:CA61)</f>
        <v>0</v>
      </c>
      <c r="CB59" s="41">
        <f>SUM(CB60:CB61)</f>
        <v>0</v>
      </c>
      <c r="CC59" s="41">
        <f t="shared" si="129"/>
        <v>0</v>
      </c>
      <c r="CD59" s="41">
        <f t="shared" si="129"/>
        <v>0</v>
      </c>
      <c r="CE59" s="41">
        <f t="shared" si="129"/>
        <v>0</v>
      </c>
      <c r="CF59" s="41">
        <f>SUM(CF60:CF61)</f>
        <v>0</v>
      </c>
      <c r="CG59" s="41">
        <f>SUM(CG60:CG61)</f>
        <v>0</v>
      </c>
      <c r="CH59" s="41">
        <f t="shared" si="129"/>
        <v>0</v>
      </c>
      <c r="CI59" s="41">
        <f>SUM(CI60:CI61)</f>
        <v>2000</v>
      </c>
      <c r="CJ59" s="41">
        <f>SUM(CJ60:CJ61)</f>
        <v>2000</v>
      </c>
      <c r="CK59" s="41">
        <f t="shared" si="129"/>
        <v>0</v>
      </c>
      <c r="CL59" s="41">
        <f>SUM(CL60:CL61)</f>
        <v>0</v>
      </c>
      <c r="CM59" s="41">
        <f>SUM(CM60:CM61)</f>
        <v>0</v>
      </c>
      <c r="CN59" s="41">
        <f>SUM(CN60:CN61)</f>
        <v>2000</v>
      </c>
      <c r="CO59" s="41">
        <f t="shared" si="129"/>
        <v>0</v>
      </c>
      <c r="CP59" s="41">
        <f t="shared" si="129"/>
        <v>0</v>
      </c>
      <c r="CQ59" s="41">
        <f t="shared" si="129"/>
        <v>0</v>
      </c>
      <c r="CR59" s="41">
        <f>SUM(CR60:CR61)</f>
        <v>0</v>
      </c>
      <c r="CS59" s="41">
        <f t="shared" si="129"/>
        <v>0</v>
      </c>
      <c r="CT59" s="41">
        <f t="shared" si="129"/>
        <v>0</v>
      </c>
      <c r="CU59" s="41">
        <f>SUM(CU60:CU61)</f>
        <v>0</v>
      </c>
      <c r="CV59" s="41">
        <f t="shared" si="129"/>
        <v>0</v>
      </c>
      <c r="CW59" s="41">
        <f t="shared" si="129"/>
        <v>0</v>
      </c>
      <c r="CX59" s="41">
        <f t="shared" si="129"/>
        <v>2800</v>
      </c>
      <c r="CY59" s="41">
        <f t="shared" si="129"/>
        <v>2800</v>
      </c>
      <c r="CZ59" s="41">
        <f t="shared" si="129"/>
        <v>3000</v>
      </c>
      <c r="DA59" s="41">
        <f t="shared" si="129"/>
        <v>0</v>
      </c>
      <c r="DB59" s="41">
        <f t="shared" si="129"/>
        <v>0</v>
      </c>
      <c r="DC59" s="41">
        <f t="shared" si="129"/>
        <v>0</v>
      </c>
      <c r="DD59" s="41">
        <f t="shared" si="129"/>
        <v>0</v>
      </c>
      <c r="DE59" s="41">
        <f t="shared" si="129"/>
        <v>0</v>
      </c>
      <c r="DF59" s="41">
        <f t="shared" si="129"/>
        <v>0</v>
      </c>
      <c r="DG59" s="41">
        <f t="shared" si="129"/>
        <v>0</v>
      </c>
      <c r="DH59" s="41">
        <f t="shared" si="129"/>
        <v>0</v>
      </c>
      <c r="DI59" s="41">
        <f t="shared" si="129"/>
        <v>0</v>
      </c>
      <c r="DJ59" s="41">
        <f>SUM(DJ60:DJ61)</f>
        <v>0</v>
      </c>
      <c r="DK59" s="41">
        <f>SUM(DK60:DK61)</f>
        <v>0</v>
      </c>
      <c r="DL59" s="41">
        <f>SUM(DL60:DL61)</f>
        <v>0</v>
      </c>
      <c r="DM59" s="41">
        <f t="shared" si="129"/>
        <v>0</v>
      </c>
      <c r="DN59" s="41">
        <f t="shared" si="129"/>
        <v>0</v>
      </c>
      <c r="DO59" s="41">
        <f t="shared" si="129"/>
        <v>0</v>
      </c>
      <c r="DP59" s="41">
        <f t="shared" si="129"/>
        <v>0</v>
      </c>
      <c r="DQ59" s="41">
        <f t="shared" si="129"/>
        <v>0</v>
      </c>
      <c r="DR59" s="41">
        <f t="shared" si="129"/>
        <v>0</v>
      </c>
      <c r="DS59" s="41">
        <f>SUM(DS60:DS61)</f>
        <v>0</v>
      </c>
      <c r="DT59" s="41">
        <f>SUM(DT60:DT61)</f>
        <v>0</v>
      </c>
      <c r="DU59" s="41">
        <f t="shared" si="129"/>
        <v>0</v>
      </c>
      <c r="DV59" s="41">
        <f t="shared" si="129"/>
        <v>0</v>
      </c>
      <c r="DW59" s="41">
        <f t="shared" si="129"/>
        <v>0</v>
      </c>
      <c r="DX59" s="41">
        <f t="shared" si="129"/>
        <v>0</v>
      </c>
      <c r="DY59" s="41">
        <f t="shared" si="129"/>
        <v>3900</v>
      </c>
      <c r="DZ59" s="41">
        <f t="shared" si="129"/>
        <v>19184</v>
      </c>
      <c r="EA59" s="41">
        <f t="shared" si="129"/>
        <v>3000</v>
      </c>
      <c r="EB59" s="25" t="s">
        <v>162</v>
      </c>
      <c r="EC59" s="2"/>
    </row>
    <row r="60" spans="1:138">
      <c r="A60" s="33" t="s">
        <v>163</v>
      </c>
      <c r="B60" s="34" t="s">
        <v>164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f t="shared" ref="I60:K62" si="130">SUM(C60,F60,)</f>
        <v>0</v>
      </c>
      <c r="J60" s="35">
        <f t="shared" si="130"/>
        <v>0</v>
      </c>
      <c r="K60" s="35">
        <f t="shared" si="130"/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7">
        <f t="shared" ref="X60:Z62" si="131">SUM(L60,O60,R60,U60)</f>
        <v>0</v>
      </c>
      <c r="Y60" s="37">
        <f t="shared" si="131"/>
        <v>0</v>
      </c>
      <c r="Z60" s="37">
        <f t="shared" si="131"/>
        <v>0</v>
      </c>
      <c r="AA60" s="35">
        <v>0</v>
      </c>
      <c r="AB60" s="35">
        <v>384</v>
      </c>
      <c r="AC60" s="35">
        <v>0</v>
      </c>
      <c r="AD60" s="35">
        <v>0</v>
      </c>
      <c r="AE60" s="35">
        <v>0</v>
      </c>
      <c r="AF60" s="35">
        <v>0</v>
      </c>
      <c r="AG60" s="81">
        <v>0</v>
      </c>
      <c r="AH60" s="81">
        <v>0</v>
      </c>
      <c r="AI60" s="81">
        <v>0</v>
      </c>
      <c r="AJ60" s="81">
        <v>1100</v>
      </c>
      <c r="AK60" s="81">
        <v>16000</v>
      </c>
      <c r="AL60" s="81"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0</v>
      </c>
      <c r="AR60" s="81">
        <v>0</v>
      </c>
      <c r="AS60" s="81">
        <v>0</v>
      </c>
      <c r="AT60" s="81">
        <v>0</v>
      </c>
      <c r="AU60" s="81">
        <v>0</v>
      </c>
      <c r="AV60" s="87">
        <f t="shared" ref="AV60:AX62" si="132">SUM(AA60,AD60,AG60,AJ60,AM60,AP60,AS60)</f>
        <v>1100</v>
      </c>
      <c r="AW60" s="37">
        <f t="shared" si="132"/>
        <v>16384</v>
      </c>
      <c r="AX60" s="37">
        <f t="shared" si="132"/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7">
        <f t="shared" ref="BH60:BJ62" si="133">SUM(AY60,BB60,BE60)</f>
        <v>0</v>
      </c>
      <c r="BI60" s="37">
        <f t="shared" si="133"/>
        <v>0</v>
      </c>
      <c r="BJ60" s="37">
        <f t="shared" si="133"/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0</v>
      </c>
      <c r="BS60" s="35">
        <v>0</v>
      </c>
      <c r="BT60" s="35">
        <v>800</v>
      </c>
      <c r="BU60" s="35">
        <v>800</v>
      </c>
      <c r="BV60" s="35">
        <v>1000</v>
      </c>
      <c r="BW60" s="35">
        <v>0</v>
      </c>
      <c r="BX60" s="35">
        <v>0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35">
        <v>0</v>
      </c>
      <c r="CE60" s="35">
        <v>0</v>
      </c>
      <c r="CF60" s="35">
        <v>0</v>
      </c>
      <c r="CG60" s="35">
        <v>0</v>
      </c>
      <c r="CH60" s="35">
        <v>0</v>
      </c>
      <c r="CI60" s="35">
        <v>2000</v>
      </c>
      <c r="CJ60" s="35">
        <v>2000</v>
      </c>
      <c r="CK60" s="35">
        <v>0</v>
      </c>
      <c r="CL60" s="35"/>
      <c r="CM60" s="35">
        <v>0</v>
      </c>
      <c r="CN60" s="35">
        <v>2000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0</v>
      </c>
      <c r="CV60" s="35">
        <v>0</v>
      </c>
      <c r="CW60" s="35">
        <v>0</v>
      </c>
      <c r="CX60" s="37">
        <f t="shared" ref="CX60:CZ62" si="134">SUM(BK60,BN60,BQ60,BT60,CC60,BW60,CF60,CI60,CO60,CR60,CU60,CL60,BZ60)</f>
        <v>2800</v>
      </c>
      <c r="CY60" s="37">
        <f t="shared" si="134"/>
        <v>2800</v>
      </c>
      <c r="CZ60" s="37">
        <f t="shared" si="134"/>
        <v>3000</v>
      </c>
      <c r="DA60" s="35">
        <v>0</v>
      </c>
      <c r="DB60" s="35">
        <v>0</v>
      </c>
      <c r="DC60" s="35">
        <v>0</v>
      </c>
      <c r="DD60" s="35">
        <v>0</v>
      </c>
      <c r="DE60" s="35">
        <v>0</v>
      </c>
      <c r="DF60" s="35">
        <v>0</v>
      </c>
      <c r="DG60" s="35">
        <v>0</v>
      </c>
      <c r="DH60" s="35">
        <v>0</v>
      </c>
      <c r="DI60" s="35">
        <v>0</v>
      </c>
      <c r="DJ60" s="35">
        <v>0</v>
      </c>
      <c r="DK60" s="35">
        <v>0</v>
      </c>
      <c r="DL60" s="35">
        <v>0</v>
      </c>
      <c r="DM60" s="35">
        <f t="shared" ref="DM60:DO62" si="135">SUM(DA60,DD60,DG60)</f>
        <v>0</v>
      </c>
      <c r="DN60" s="35">
        <f t="shared" si="135"/>
        <v>0</v>
      </c>
      <c r="DO60" s="35">
        <f t="shared" si="135"/>
        <v>0</v>
      </c>
      <c r="DP60" s="35">
        <v>0</v>
      </c>
      <c r="DQ60" s="35">
        <v>0</v>
      </c>
      <c r="DR60" s="35">
        <v>0</v>
      </c>
      <c r="DS60" s="35">
        <v>0</v>
      </c>
      <c r="DT60" s="35">
        <v>0</v>
      </c>
      <c r="DU60" s="35">
        <v>0</v>
      </c>
      <c r="DV60" s="37">
        <f t="shared" ref="DV60:DX62" si="136">SUM(DP60,DS60)</f>
        <v>0</v>
      </c>
      <c r="DW60" s="37">
        <f t="shared" si="136"/>
        <v>0</v>
      </c>
      <c r="DX60" s="37">
        <f t="shared" si="136"/>
        <v>0</v>
      </c>
      <c r="DY60" s="37">
        <f t="shared" ref="DY60:EA62" si="137">SUM(I60,X60,AV60,BH60,CX60,DM60,DV60)</f>
        <v>3900</v>
      </c>
      <c r="DZ60" s="37">
        <f t="shared" si="137"/>
        <v>19184</v>
      </c>
      <c r="EA60" s="37">
        <f t="shared" si="137"/>
        <v>3000</v>
      </c>
      <c r="EB60" s="34" t="s">
        <v>164</v>
      </c>
    </row>
    <row r="61" spans="1:138" ht="12.75" customHeight="1">
      <c r="A61" s="33" t="s">
        <v>165</v>
      </c>
      <c r="B61" s="34" t="s">
        <v>166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f t="shared" si="130"/>
        <v>0</v>
      </c>
      <c r="J61" s="35">
        <f t="shared" si="130"/>
        <v>0</v>
      </c>
      <c r="K61" s="35">
        <f t="shared" si="130"/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7">
        <f t="shared" si="131"/>
        <v>0</v>
      </c>
      <c r="Y61" s="37">
        <f t="shared" si="131"/>
        <v>0</v>
      </c>
      <c r="Z61" s="37">
        <f t="shared" si="131"/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81">
        <v>0</v>
      </c>
      <c r="AH61" s="81">
        <v>0</v>
      </c>
      <c r="AI61" s="81">
        <v>0</v>
      </c>
      <c r="AJ61" s="81">
        <v>0</v>
      </c>
      <c r="AK61" s="81">
        <v>0</v>
      </c>
      <c r="AL61" s="81">
        <v>0</v>
      </c>
      <c r="AM61" s="81">
        <v>0</v>
      </c>
      <c r="AN61" s="81">
        <v>0</v>
      </c>
      <c r="AO61" s="81">
        <v>0</v>
      </c>
      <c r="AP61" s="81">
        <v>0</v>
      </c>
      <c r="AQ61" s="81">
        <v>0</v>
      </c>
      <c r="AR61" s="81">
        <v>0</v>
      </c>
      <c r="AS61" s="81">
        <v>0</v>
      </c>
      <c r="AT61" s="81">
        <v>0</v>
      </c>
      <c r="AU61" s="81">
        <v>0</v>
      </c>
      <c r="AV61" s="87">
        <f t="shared" si="132"/>
        <v>0</v>
      </c>
      <c r="AW61" s="37">
        <f t="shared" si="132"/>
        <v>0</v>
      </c>
      <c r="AX61" s="37">
        <f t="shared" si="132"/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7">
        <f t="shared" si="133"/>
        <v>0</v>
      </c>
      <c r="BI61" s="37">
        <f t="shared" si="133"/>
        <v>0</v>
      </c>
      <c r="BJ61" s="37">
        <f t="shared" si="133"/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5">
        <v>0</v>
      </c>
      <c r="CC61" s="35">
        <v>0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5">
        <v>0</v>
      </c>
      <c r="CK61" s="35">
        <v>0</v>
      </c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35">
        <v>0</v>
      </c>
      <c r="CT61" s="35">
        <v>0</v>
      </c>
      <c r="CU61" s="35">
        <v>0</v>
      </c>
      <c r="CV61" s="35">
        <v>0</v>
      </c>
      <c r="CW61" s="35">
        <v>0</v>
      </c>
      <c r="CX61" s="37">
        <f t="shared" si="134"/>
        <v>0</v>
      </c>
      <c r="CY61" s="37">
        <f t="shared" si="134"/>
        <v>0</v>
      </c>
      <c r="CZ61" s="37">
        <f t="shared" si="134"/>
        <v>0</v>
      </c>
      <c r="DA61" s="35">
        <v>0</v>
      </c>
      <c r="DB61" s="35">
        <v>0</v>
      </c>
      <c r="DC61" s="35">
        <v>0</v>
      </c>
      <c r="DD61" s="35">
        <v>0</v>
      </c>
      <c r="DE61" s="35">
        <v>0</v>
      </c>
      <c r="DF61" s="35">
        <v>0</v>
      </c>
      <c r="DG61" s="35">
        <v>0</v>
      </c>
      <c r="DH61" s="35">
        <v>0</v>
      </c>
      <c r="DI61" s="35">
        <v>0</v>
      </c>
      <c r="DJ61" s="35">
        <v>0</v>
      </c>
      <c r="DK61" s="35">
        <v>0</v>
      </c>
      <c r="DL61" s="35">
        <v>0</v>
      </c>
      <c r="DM61" s="35">
        <f t="shared" si="135"/>
        <v>0</v>
      </c>
      <c r="DN61" s="35">
        <f t="shared" si="135"/>
        <v>0</v>
      </c>
      <c r="DO61" s="35">
        <f t="shared" si="135"/>
        <v>0</v>
      </c>
      <c r="DP61" s="35">
        <v>0</v>
      </c>
      <c r="DQ61" s="35">
        <v>0</v>
      </c>
      <c r="DR61" s="35">
        <v>0</v>
      </c>
      <c r="DS61" s="35">
        <v>0</v>
      </c>
      <c r="DT61" s="35">
        <v>0</v>
      </c>
      <c r="DU61" s="35">
        <v>0</v>
      </c>
      <c r="DV61" s="37">
        <f t="shared" si="136"/>
        <v>0</v>
      </c>
      <c r="DW61" s="37">
        <f t="shared" si="136"/>
        <v>0</v>
      </c>
      <c r="DX61" s="37">
        <f t="shared" si="136"/>
        <v>0</v>
      </c>
      <c r="DY61" s="37">
        <f t="shared" si="137"/>
        <v>0</v>
      </c>
      <c r="DZ61" s="37">
        <f t="shared" si="137"/>
        <v>0</v>
      </c>
      <c r="EA61" s="37">
        <f t="shared" si="137"/>
        <v>0</v>
      </c>
      <c r="EB61" s="34" t="s">
        <v>166</v>
      </c>
    </row>
    <row r="62" spans="1:138" s="32" customFormat="1">
      <c r="A62" s="39" t="s">
        <v>167</v>
      </c>
      <c r="B62" s="62" t="s">
        <v>168</v>
      </c>
      <c r="C62" s="41"/>
      <c r="D62" s="41"/>
      <c r="E62" s="41"/>
      <c r="F62" s="41"/>
      <c r="G62" s="41"/>
      <c r="H62" s="41"/>
      <c r="I62" s="35">
        <f t="shared" si="130"/>
        <v>0</v>
      </c>
      <c r="J62" s="35">
        <f t="shared" si="130"/>
        <v>0</v>
      </c>
      <c r="K62" s="35">
        <f t="shared" si="130"/>
        <v>0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57">
        <f t="shared" si="131"/>
        <v>0</v>
      </c>
      <c r="Y62" s="57">
        <f t="shared" si="131"/>
        <v>0</v>
      </c>
      <c r="Z62" s="57">
        <f t="shared" si="131"/>
        <v>0</v>
      </c>
      <c r="AA62" s="41"/>
      <c r="AB62" s="41"/>
      <c r="AC62" s="41"/>
      <c r="AD62" s="41"/>
      <c r="AE62" s="41"/>
      <c r="AF62" s="41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7">
        <f t="shared" si="132"/>
        <v>0</v>
      </c>
      <c r="AW62" s="37">
        <f t="shared" si="132"/>
        <v>0</v>
      </c>
      <c r="AX62" s="37">
        <f t="shared" si="132"/>
        <v>0</v>
      </c>
      <c r="AY62" s="41"/>
      <c r="AZ62" s="41"/>
      <c r="BA62" s="41"/>
      <c r="BB62" s="41"/>
      <c r="BC62" s="41"/>
      <c r="BD62" s="41"/>
      <c r="BE62" s="41"/>
      <c r="BF62" s="41"/>
      <c r="BG62" s="41"/>
      <c r="BH62" s="57">
        <f t="shared" si="133"/>
        <v>0</v>
      </c>
      <c r="BI62" s="57">
        <f t="shared" si="133"/>
        <v>0</v>
      </c>
      <c r="BJ62" s="57">
        <f t="shared" si="133"/>
        <v>0</v>
      </c>
      <c r="BK62" s="41"/>
      <c r="BL62" s="41"/>
      <c r="BM62" s="41"/>
      <c r="BN62" s="41"/>
      <c r="BO62" s="41">
        <v>0</v>
      </c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37">
        <f t="shared" si="134"/>
        <v>0</v>
      </c>
      <c r="CY62" s="37">
        <f t="shared" si="134"/>
        <v>0</v>
      </c>
      <c r="CZ62" s="37">
        <f t="shared" si="134"/>
        <v>0</v>
      </c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35">
        <f t="shared" si="135"/>
        <v>0</v>
      </c>
      <c r="DN62" s="35">
        <f t="shared" si="135"/>
        <v>0</v>
      </c>
      <c r="DO62" s="35">
        <f t="shared" si="135"/>
        <v>0</v>
      </c>
      <c r="DP62" s="41"/>
      <c r="DQ62" s="41"/>
      <c r="DR62" s="41"/>
      <c r="DS62" s="41"/>
      <c r="DT62" s="41">
        <v>0</v>
      </c>
      <c r="DU62" s="41"/>
      <c r="DV62" s="37">
        <f t="shared" si="136"/>
        <v>0</v>
      </c>
      <c r="DW62" s="37">
        <f t="shared" si="136"/>
        <v>0</v>
      </c>
      <c r="DX62" s="37">
        <f t="shared" si="136"/>
        <v>0</v>
      </c>
      <c r="DY62" s="37">
        <f t="shared" si="137"/>
        <v>0</v>
      </c>
      <c r="DZ62" s="37">
        <f t="shared" si="137"/>
        <v>0</v>
      </c>
      <c r="EA62" s="37">
        <f t="shared" si="137"/>
        <v>0</v>
      </c>
      <c r="EB62" s="62" t="s">
        <v>168</v>
      </c>
      <c r="EC62" s="2"/>
    </row>
    <row r="63" spans="1:138" s="89" customFormat="1" ht="19.5" customHeight="1">
      <c r="A63" s="296" t="s">
        <v>169</v>
      </c>
      <c r="B63" s="296"/>
      <c r="C63" s="88">
        <f t="shared" ref="C63:AX63" si="138">SUM(C9,C12,C18,C23,C38,C41:C42,C45,C48:C51,C59,C62)</f>
        <v>4227119</v>
      </c>
      <c r="D63" s="88">
        <f t="shared" si="138"/>
        <v>4245839</v>
      </c>
      <c r="E63" s="88">
        <f t="shared" si="138"/>
        <v>4359455</v>
      </c>
      <c r="F63" s="88">
        <f t="shared" si="138"/>
        <v>475</v>
      </c>
      <c r="G63" s="88">
        <f t="shared" si="138"/>
        <v>1212977</v>
      </c>
      <c r="H63" s="88">
        <f t="shared" si="138"/>
        <v>1574</v>
      </c>
      <c r="I63" s="88">
        <f t="shared" si="138"/>
        <v>4227594</v>
      </c>
      <c r="J63" s="88">
        <f t="shared" si="138"/>
        <v>5458816</v>
      </c>
      <c r="K63" s="88">
        <f t="shared" si="138"/>
        <v>4361029</v>
      </c>
      <c r="L63" s="88">
        <f t="shared" si="138"/>
        <v>187890</v>
      </c>
      <c r="M63" s="88">
        <f t="shared" si="138"/>
        <v>187890</v>
      </c>
      <c r="N63" s="88">
        <f t="shared" si="138"/>
        <v>229155</v>
      </c>
      <c r="O63" s="88">
        <f t="shared" si="138"/>
        <v>176911</v>
      </c>
      <c r="P63" s="88">
        <f t="shared" si="138"/>
        <v>176911</v>
      </c>
      <c r="Q63" s="88">
        <f t="shared" si="138"/>
        <v>208597</v>
      </c>
      <c r="R63" s="88">
        <f t="shared" si="138"/>
        <v>51220</v>
      </c>
      <c r="S63" s="88">
        <f t="shared" si="138"/>
        <v>51220</v>
      </c>
      <c r="T63" s="88">
        <f t="shared" si="138"/>
        <v>63335</v>
      </c>
      <c r="U63" s="88">
        <f t="shared" si="138"/>
        <v>0</v>
      </c>
      <c r="V63" s="88">
        <f t="shared" si="138"/>
        <v>0</v>
      </c>
      <c r="W63" s="88">
        <f t="shared" si="138"/>
        <v>0</v>
      </c>
      <c r="X63" s="88">
        <f t="shared" si="138"/>
        <v>416021</v>
      </c>
      <c r="Y63" s="88">
        <f t="shared" si="138"/>
        <v>416021</v>
      </c>
      <c r="Z63" s="88">
        <f t="shared" si="138"/>
        <v>501087</v>
      </c>
      <c r="AA63" s="88">
        <f t="shared" si="138"/>
        <v>10909087</v>
      </c>
      <c r="AB63" s="88">
        <f t="shared" si="138"/>
        <v>11633933</v>
      </c>
      <c r="AC63" s="88">
        <f t="shared" si="138"/>
        <v>13106516</v>
      </c>
      <c r="AD63" s="88">
        <f t="shared" si="138"/>
        <v>815996</v>
      </c>
      <c r="AE63" s="88">
        <f t="shared" si="138"/>
        <v>829153</v>
      </c>
      <c r="AF63" s="88">
        <f t="shared" si="138"/>
        <v>1019033</v>
      </c>
      <c r="AG63" s="88">
        <f t="shared" si="138"/>
        <v>22209998</v>
      </c>
      <c r="AH63" s="88">
        <f t="shared" si="138"/>
        <v>23955784</v>
      </c>
      <c r="AI63" s="88">
        <f t="shared" si="138"/>
        <v>24333457</v>
      </c>
      <c r="AJ63" s="88">
        <f t="shared" si="138"/>
        <v>1193630</v>
      </c>
      <c r="AK63" s="88">
        <f t="shared" si="138"/>
        <v>1301181</v>
      </c>
      <c r="AL63" s="88">
        <f t="shared" si="138"/>
        <v>1452338</v>
      </c>
      <c r="AM63" s="88">
        <f t="shared" si="138"/>
        <v>274518</v>
      </c>
      <c r="AN63" s="88">
        <f t="shared" si="138"/>
        <v>297599</v>
      </c>
      <c r="AO63" s="88">
        <f t="shared" si="138"/>
        <v>340713</v>
      </c>
      <c r="AP63" s="88">
        <f t="shared" si="138"/>
        <v>554582</v>
      </c>
      <c r="AQ63" s="88">
        <f t="shared" si="138"/>
        <v>577901</v>
      </c>
      <c r="AR63" s="88">
        <f t="shared" si="138"/>
        <v>743905</v>
      </c>
      <c r="AS63" s="88">
        <f t="shared" si="138"/>
        <v>38496</v>
      </c>
      <c r="AT63" s="88">
        <f t="shared" si="138"/>
        <v>234980</v>
      </c>
      <c r="AU63" s="88">
        <f t="shared" si="138"/>
        <v>156777</v>
      </c>
      <c r="AV63" s="88">
        <f t="shared" si="138"/>
        <v>35996307</v>
      </c>
      <c r="AW63" s="88">
        <f t="shared" si="138"/>
        <v>38830531</v>
      </c>
      <c r="AX63" s="88">
        <f t="shared" si="138"/>
        <v>41152739</v>
      </c>
      <c r="AY63" s="88">
        <f t="shared" ref="AY63:CT63" si="139">SUM(AY9,AY12,AY18,AY23,AY38,AY41:AY42,AY45,AY48:AY51,AY59,AY62)</f>
        <v>1116542</v>
      </c>
      <c r="AZ63" s="88">
        <f t="shared" si="139"/>
        <v>1116542</v>
      </c>
      <c r="BA63" s="88">
        <f t="shared" si="139"/>
        <v>1231315</v>
      </c>
      <c r="BB63" s="88">
        <f t="shared" si="139"/>
        <v>996634</v>
      </c>
      <c r="BC63" s="88">
        <f t="shared" si="139"/>
        <v>982772</v>
      </c>
      <c r="BD63" s="88">
        <f t="shared" si="139"/>
        <v>1052630</v>
      </c>
      <c r="BE63" s="88">
        <f t="shared" si="139"/>
        <v>31980</v>
      </c>
      <c r="BF63" s="88">
        <f t="shared" si="139"/>
        <v>33705</v>
      </c>
      <c r="BG63" s="88">
        <f t="shared" si="139"/>
        <v>35784</v>
      </c>
      <c r="BH63" s="88">
        <f t="shared" si="139"/>
        <v>2145156</v>
      </c>
      <c r="BI63" s="88">
        <f t="shared" si="139"/>
        <v>2133019</v>
      </c>
      <c r="BJ63" s="88">
        <f t="shared" si="139"/>
        <v>2319729</v>
      </c>
      <c r="BK63" s="88">
        <f t="shared" si="139"/>
        <v>762748</v>
      </c>
      <c r="BL63" s="88">
        <f t="shared" si="139"/>
        <v>762748</v>
      </c>
      <c r="BM63" s="88">
        <f t="shared" si="139"/>
        <v>917353</v>
      </c>
      <c r="BN63" s="88">
        <f t="shared" si="139"/>
        <v>12213</v>
      </c>
      <c r="BO63" s="88">
        <f t="shared" si="139"/>
        <v>159424</v>
      </c>
      <c r="BP63" s="88">
        <f t="shared" si="139"/>
        <v>3961</v>
      </c>
      <c r="BQ63" s="88">
        <f t="shared" si="139"/>
        <v>712129</v>
      </c>
      <c r="BR63" s="88">
        <f t="shared" si="139"/>
        <v>723529</v>
      </c>
      <c r="BS63" s="88">
        <f t="shared" si="139"/>
        <v>870066</v>
      </c>
      <c r="BT63" s="88">
        <f t="shared" si="139"/>
        <v>478890</v>
      </c>
      <c r="BU63" s="88">
        <f t="shared" si="139"/>
        <v>485274</v>
      </c>
      <c r="BV63" s="88">
        <f t="shared" si="139"/>
        <v>557641</v>
      </c>
      <c r="BW63" s="88">
        <f t="shared" si="139"/>
        <v>572079</v>
      </c>
      <c r="BX63" s="88">
        <f t="shared" si="139"/>
        <v>572079</v>
      </c>
      <c r="BY63" s="88">
        <f t="shared" si="139"/>
        <v>716148</v>
      </c>
      <c r="BZ63" s="88">
        <f>SUM(BZ9,BZ12,BZ18,BZ23,BZ38,BZ41:BZ42,BZ45,BZ48:BZ51,BZ59,BZ62)</f>
        <v>0</v>
      </c>
      <c r="CA63" s="88">
        <f>SUM(CA9,CA12,CA18,CA23,CA38,CA41:CA42,CA45,CA48:CA51,CA59,CA62)</f>
        <v>168225</v>
      </c>
      <c r="CB63" s="88">
        <f>SUM(CB9,CB12,CB18,CB23,CB38,CB41:CB42,CB45,CB48:CB51,CB59,CB62)</f>
        <v>472213</v>
      </c>
      <c r="CC63" s="88">
        <f t="shared" si="139"/>
        <v>51</v>
      </c>
      <c r="CD63" s="88">
        <f t="shared" si="139"/>
        <v>51</v>
      </c>
      <c r="CE63" s="88">
        <f t="shared" si="139"/>
        <v>50</v>
      </c>
      <c r="CF63" s="88">
        <f t="shared" si="139"/>
        <v>279497</v>
      </c>
      <c r="CG63" s="88">
        <f t="shared" si="139"/>
        <v>279497</v>
      </c>
      <c r="CH63" s="88">
        <f t="shared" si="139"/>
        <v>330663</v>
      </c>
      <c r="CI63" s="88">
        <f t="shared" si="139"/>
        <v>533495</v>
      </c>
      <c r="CJ63" s="88">
        <f t="shared" si="139"/>
        <v>533495</v>
      </c>
      <c r="CK63" s="88">
        <f t="shared" si="139"/>
        <v>685644</v>
      </c>
      <c r="CL63" s="88">
        <f t="shared" si="139"/>
        <v>0</v>
      </c>
      <c r="CM63" s="88">
        <f t="shared" si="139"/>
        <v>237360</v>
      </c>
      <c r="CN63" s="88">
        <f t="shared" si="139"/>
        <v>684277</v>
      </c>
      <c r="CO63" s="88">
        <f t="shared" si="139"/>
        <v>1530440</v>
      </c>
      <c r="CP63" s="88">
        <f t="shared" si="139"/>
        <v>1530440</v>
      </c>
      <c r="CQ63" s="88">
        <f t="shared" si="139"/>
        <v>1680217</v>
      </c>
      <c r="CR63" s="88">
        <f t="shared" si="139"/>
        <v>162522</v>
      </c>
      <c r="CS63" s="88">
        <f t="shared" si="139"/>
        <v>6415480</v>
      </c>
      <c r="CT63" s="88">
        <f t="shared" si="139"/>
        <v>305059</v>
      </c>
      <c r="CU63" s="88">
        <f t="shared" ref="CU63:EA63" si="140">SUM(CU9,CU12,CU18,CU23,CU38,CU41:CU42,CU45,CU48:CU51,CU59,CU62)</f>
        <v>3939</v>
      </c>
      <c r="CV63" s="88">
        <f t="shared" si="140"/>
        <v>109179</v>
      </c>
      <c r="CW63" s="88">
        <f t="shared" si="140"/>
        <v>11113</v>
      </c>
      <c r="CX63" s="88">
        <f t="shared" si="140"/>
        <v>5048003</v>
      </c>
      <c r="CY63" s="88">
        <f t="shared" si="140"/>
        <v>11976781</v>
      </c>
      <c r="CZ63" s="88">
        <f t="shared" si="140"/>
        <v>7234405</v>
      </c>
      <c r="DA63" s="88">
        <f t="shared" si="140"/>
        <v>397521</v>
      </c>
      <c r="DB63" s="88">
        <f t="shared" si="140"/>
        <v>508327</v>
      </c>
      <c r="DC63" s="88">
        <f t="shared" si="140"/>
        <v>513192</v>
      </c>
      <c r="DD63" s="88">
        <f t="shared" si="140"/>
        <v>38907</v>
      </c>
      <c r="DE63" s="88">
        <f t="shared" si="140"/>
        <v>68554</v>
      </c>
      <c r="DF63" s="88">
        <f t="shared" si="140"/>
        <v>41075</v>
      </c>
      <c r="DG63" s="88">
        <f t="shared" si="140"/>
        <v>473960</v>
      </c>
      <c r="DH63" s="88">
        <f t="shared" si="140"/>
        <v>492898</v>
      </c>
      <c r="DI63" s="88">
        <f t="shared" si="140"/>
        <v>569296</v>
      </c>
      <c r="DJ63" s="88">
        <f t="shared" si="140"/>
        <v>0</v>
      </c>
      <c r="DK63" s="88">
        <f t="shared" si="140"/>
        <v>3346</v>
      </c>
      <c r="DL63" s="88">
        <f t="shared" si="140"/>
        <v>3346</v>
      </c>
      <c r="DM63" s="88">
        <f t="shared" si="140"/>
        <v>910388</v>
      </c>
      <c r="DN63" s="88">
        <f t="shared" si="140"/>
        <v>1073125</v>
      </c>
      <c r="DO63" s="88">
        <f t="shared" si="140"/>
        <v>1126909</v>
      </c>
      <c r="DP63" s="88">
        <f t="shared" si="140"/>
        <v>194276</v>
      </c>
      <c r="DQ63" s="88">
        <f t="shared" si="140"/>
        <v>228211</v>
      </c>
      <c r="DR63" s="88">
        <f t="shared" si="140"/>
        <v>180803</v>
      </c>
      <c r="DS63" s="88">
        <f t="shared" si="140"/>
        <v>0</v>
      </c>
      <c r="DT63" s="88">
        <f t="shared" si="140"/>
        <v>7280</v>
      </c>
      <c r="DU63" s="88">
        <f t="shared" si="140"/>
        <v>0</v>
      </c>
      <c r="DV63" s="88">
        <f t="shared" si="140"/>
        <v>194276</v>
      </c>
      <c r="DW63" s="88">
        <f t="shared" si="140"/>
        <v>235491</v>
      </c>
      <c r="DX63" s="88">
        <f t="shared" si="140"/>
        <v>180803</v>
      </c>
      <c r="DY63" s="88">
        <f t="shared" si="140"/>
        <v>48937745</v>
      </c>
      <c r="DZ63" s="88">
        <f t="shared" si="140"/>
        <v>60123784</v>
      </c>
      <c r="EA63" s="88">
        <f t="shared" si="140"/>
        <v>56876701</v>
      </c>
      <c r="EB63" s="296"/>
      <c r="EC63" s="2"/>
    </row>
    <row r="64" spans="1:138">
      <c r="AG64" s="89"/>
      <c r="AH64" s="89"/>
      <c r="AI64" s="89"/>
      <c r="AJ64" s="89"/>
      <c r="AK64" s="89"/>
      <c r="AL64" s="90"/>
      <c r="AM64" s="89"/>
      <c r="AN64" s="89"/>
      <c r="AO64" s="90"/>
      <c r="AP64" s="89"/>
      <c r="AQ64" s="89"/>
      <c r="AR64" s="90"/>
      <c r="AS64" s="89"/>
      <c r="AT64" s="89"/>
      <c r="AU64" s="89"/>
      <c r="AV64" s="89"/>
      <c r="BA64" s="2"/>
      <c r="BY64" s="2"/>
      <c r="DS64" s="63"/>
      <c r="DT64" s="63"/>
      <c r="DU64" s="63"/>
      <c r="DV64" s="64"/>
      <c r="DW64" s="64"/>
    </row>
    <row r="65" spans="33:131">
      <c r="AG65" s="89"/>
      <c r="AH65" s="89"/>
      <c r="AI65" s="89"/>
      <c r="AJ65" s="89"/>
      <c r="AK65" s="89"/>
      <c r="AL65" s="90"/>
      <c r="AM65" s="89"/>
      <c r="AN65" s="89"/>
      <c r="AO65" s="90"/>
      <c r="AP65" s="89"/>
      <c r="AQ65" s="89"/>
      <c r="AR65" s="90"/>
      <c r="AS65" s="89"/>
      <c r="AT65" s="89"/>
      <c r="AU65" s="89"/>
      <c r="AV65" s="89"/>
      <c r="AX65" s="65"/>
      <c r="BA65" s="65"/>
      <c r="DS65" s="63"/>
      <c r="DT65" s="63"/>
      <c r="DU65" s="63"/>
      <c r="DV65" s="63"/>
      <c r="DW65" s="63"/>
      <c r="DZ65" s="61"/>
      <c r="EA65" s="61"/>
    </row>
    <row r="66" spans="33:131">
      <c r="AX66" s="65"/>
      <c r="DS66" s="63"/>
      <c r="DT66" s="63"/>
      <c r="DU66" s="63"/>
      <c r="DV66" s="63"/>
      <c r="DW66" s="63"/>
    </row>
    <row r="67" spans="33:131">
      <c r="DS67" s="63"/>
      <c r="DT67" s="63"/>
      <c r="DU67" s="63"/>
      <c r="DV67" s="63"/>
      <c r="DW67" s="63"/>
    </row>
    <row r="68" spans="33:131">
      <c r="AX68" s="65"/>
      <c r="DS68" s="63"/>
      <c r="DT68" s="63"/>
      <c r="DU68" s="63"/>
      <c r="DV68" s="63"/>
      <c r="DW68" s="63"/>
    </row>
    <row r="69" spans="33:131">
      <c r="DS69" s="63"/>
      <c r="DT69" s="63"/>
      <c r="DU69" s="63"/>
      <c r="DV69" s="63"/>
      <c r="DW69" s="63"/>
    </row>
    <row r="70" spans="33:131">
      <c r="DS70" s="63"/>
      <c r="DT70" s="63"/>
      <c r="DU70" s="63"/>
      <c r="DV70" s="63"/>
      <c r="DW70" s="63"/>
    </row>
  </sheetData>
  <mergeCells count="16">
    <mergeCell ref="X7:Z7"/>
    <mergeCell ref="AV7:AX7"/>
    <mergeCell ref="BH7:BJ7"/>
    <mergeCell ref="CX7:CZ7"/>
    <mergeCell ref="DA7:DC7"/>
    <mergeCell ref="DV7:DX7"/>
    <mergeCell ref="CX6:CZ6"/>
    <mergeCell ref="DA6:DI6"/>
    <mergeCell ref="DM6:DO6"/>
    <mergeCell ref="DP6:DU6"/>
    <mergeCell ref="DV6:DX6"/>
    <mergeCell ref="DD7:DF7"/>
    <mergeCell ref="DG7:DI7"/>
    <mergeCell ref="DJ7:DL7"/>
    <mergeCell ref="DM7:DO7"/>
    <mergeCell ref="DP7:DR7"/>
  </mergeCells>
  <pageMargins left="0.19685039370078741" right="0.19685039370078741" top="0.19685039370078741" bottom="0.15748031496062992" header="0.19685039370078741" footer="0.15748031496062992"/>
  <pageSetup paperSize="8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3"/>
  <sheetViews>
    <sheetView showZeros="0" workbookViewId="0">
      <pane xSplit="2" ySplit="7" topLeftCell="AC32" activePane="bottomRight" state="frozen"/>
      <selection pane="topRight" activeCell="C1" sqref="C1"/>
      <selection pane="bottomLeft" activeCell="A8" sqref="A8"/>
      <selection pane="bottomRight" activeCell="AR56" sqref="AR56"/>
    </sheetView>
  </sheetViews>
  <sheetFormatPr defaultColWidth="9.85546875" defaultRowHeight="12.75"/>
  <cols>
    <col min="1" max="1" width="27.85546875" style="2" customWidth="1"/>
    <col min="2" max="2" width="5.7109375" style="2" customWidth="1"/>
    <col min="3" max="3" width="9.85546875" style="2" customWidth="1"/>
    <col min="4" max="4" width="9.140625" style="2" customWidth="1"/>
    <col min="5" max="5" width="9.140625" style="3" bestFit="1" customWidth="1"/>
    <col min="6" max="7" width="9.140625" style="2" bestFit="1" customWidth="1"/>
    <col min="8" max="8" width="9.140625" style="3" bestFit="1" customWidth="1"/>
    <col min="9" max="9" width="7.5703125" style="2" customWidth="1"/>
    <col min="10" max="10" width="8.7109375" style="2" customWidth="1"/>
    <col min="11" max="11" width="9.140625" style="3" bestFit="1" customWidth="1"/>
    <col min="12" max="12" width="8" style="2" customWidth="1"/>
    <col min="13" max="13" width="8.42578125" style="2" bestFit="1" customWidth="1"/>
    <col min="14" max="14" width="10" style="3" customWidth="1"/>
    <col min="15" max="15" width="9.140625" style="2" customWidth="1"/>
    <col min="16" max="16" width="9" style="2" customWidth="1"/>
    <col min="17" max="17" width="8.42578125" style="2" customWidth="1"/>
    <col min="18" max="18" width="9.5703125" style="2" customWidth="1"/>
    <col min="19" max="19" width="9.42578125" style="2" customWidth="1"/>
    <col min="20" max="20" width="9.140625" style="2" customWidth="1"/>
    <col min="21" max="21" width="8.140625" style="2" customWidth="1"/>
    <col min="22" max="23" width="8.85546875" style="2" customWidth="1"/>
    <col min="24" max="25" width="9.28515625" style="2" customWidth="1"/>
    <col min="26" max="26" width="8.140625" style="2" customWidth="1"/>
    <col min="27" max="27" width="6" style="2" bestFit="1" customWidth="1"/>
    <col min="28" max="28" width="7.85546875" style="2" bestFit="1" customWidth="1"/>
    <col min="29" max="29" width="6.85546875" style="2" bestFit="1" customWidth="1"/>
    <col min="30" max="30" width="6" style="2" bestFit="1" customWidth="1"/>
    <col min="31" max="31" width="7.85546875" style="2" bestFit="1" customWidth="1"/>
    <col min="32" max="32" width="6.85546875" style="2" bestFit="1" customWidth="1"/>
    <col min="33" max="33" width="7.5703125" style="2" customWidth="1"/>
    <col min="34" max="34" width="8.42578125" style="2" customWidth="1"/>
    <col min="35" max="35" width="8.7109375" style="2" customWidth="1"/>
    <col min="36" max="36" width="9.42578125" style="2" customWidth="1"/>
    <col min="37" max="37" width="9.7109375" style="2" customWidth="1"/>
    <col min="38" max="38" width="10" style="2" customWidth="1"/>
    <col min="39" max="40" width="8" style="2" customWidth="1"/>
    <col min="41" max="41" width="7.85546875" style="2" customWidth="1"/>
    <col min="42" max="42" width="7.5703125" style="2" bestFit="1" customWidth="1"/>
    <col min="43" max="43" width="7.85546875" style="2" bestFit="1" customWidth="1"/>
    <col min="44" max="44" width="9.42578125" style="2" customWidth="1"/>
    <col min="45" max="45" width="8.42578125" style="2" customWidth="1"/>
    <col min="46" max="46" width="8" style="2" customWidth="1"/>
    <col min="47" max="47" width="8" style="3" customWidth="1"/>
    <col min="48" max="48" width="7.140625" style="2" hidden="1" customWidth="1"/>
    <col min="49" max="49" width="8.7109375" style="2" hidden="1" customWidth="1"/>
    <col min="50" max="50" width="8.5703125" style="3" hidden="1" customWidth="1"/>
    <col min="51" max="51" width="8" style="3" hidden="1" customWidth="1"/>
    <col min="52" max="52" width="8" style="2" customWidth="1"/>
    <col min="53" max="53" width="8.28515625" style="2" customWidth="1"/>
    <col min="54" max="54" width="7.42578125" style="2" customWidth="1"/>
    <col min="55" max="56" width="9.140625" style="2" bestFit="1" customWidth="1"/>
    <col min="57" max="57" width="9.140625" style="3" bestFit="1" customWidth="1"/>
    <col min="58" max="58" width="5.7109375" style="2" customWidth="1"/>
    <col min="59" max="59" width="7.85546875" style="2" customWidth="1"/>
    <col min="60" max="60" width="6.85546875" style="3" customWidth="1"/>
    <col min="61" max="61" width="4" style="3" customWidth="1"/>
    <col min="62" max="62" width="7" style="2" customWidth="1"/>
    <col min="63" max="63" width="7.85546875" style="2" customWidth="1"/>
    <col min="64" max="64" width="6.85546875" style="3" customWidth="1"/>
    <col min="65" max="65" width="7.140625" style="3" customWidth="1"/>
    <col min="66" max="66" width="9.5703125" style="2" customWidth="1"/>
    <col min="67" max="67" width="9.42578125" style="2" customWidth="1"/>
    <col min="68" max="68" width="9" style="2" customWidth="1"/>
    <col min="69" max="69" width="9.85546875" style="2" customWidth="1"/>
    <col min="70" max="70" width="5.42578125" style="2" customWidth="1"/>
    <col min="71" max="239" width="9.85546875" style="2"/>
    <col min="240" max="240" width="27.85546875" style="2" customWidth="1"/>
    <col min="241" max="241" width="5.7109375" style="2" customWidth="1"/>
    <col min="242" max="242" width="9.85546875" style="2" customWidth="1"/>
    <col min="243" max="243" width="9.140625" style="2" customWidth="1"/>
    <col min="244" max="249" width="9.140625" style="2" bestFit="1" customWidth="1"/>
    <col min="250" max="250" width="7.5703125" style="2" customWidth="1"/>
    <col min="251" max="251" width="8.7109375" style="2" customWidth="1"/>
    <col min="252" max="252" width="7.7109375" style="2" customWidth="1"/>
    <col min="253" max="253" width="9.140625" style="2" bestFit="1" customWidth="1"/>
    <col min="254" max="254" width="8" style="2" customWidth="1"/>
    <col min="255" max="255" width="8.42578125" style="2" bestFit="1" customWidth="1"/>
    <col min="256" max="256" width="6.5703125" style="2" bestFit="1" customWidth="1"/>
    <col min="257" max="257" width="10" style="2" customWidth="1"/>
    <col min="258" max="258" width="9.140625" style="2" customWidth="1"/>
    <col min="259" max="259" width="9" style="2" customWidth="1"/>
    <col min="260" max="260" width="10.42578125" style="2" customWidth="1"/>
    <col min="261" max="261" width="8.42578125" style="2" customWidth="1"/>
    <col min="262" max="262" width="9.5703125" style="2" customWidth="1"/>
    <col min="263" max="263" width="9.42578125" style="2" customWidth="1"/>
    <col min="264" max="264" width="8.5703125" style="2" customWidth="1"/>
    <col min="265" max="265" width="9.140625" style="2" customWidth="1"/>
    <col min="266" max="266" width="8.140625" style="2" customWidth="1"/>
    <col min="267" max="267" width="8.85546875" style="2" customWidth="1"/>
    <col min="268" max="268" width="8.140625" style="2" customWidth="1"/>
    <col min="269" max="269" width="8.85546875" style="2" customWidth="1"/>
    <col min="270" max="271" width="9.28515625" style="2" customWidth="1"/>
    <col min="272" max="272" width="8.42578125" style="2" customWidth="1"/>
    <col min="273" max="273" width="8.140625" style="2" customWidth="1"/>
    <col min="274" max="274" width="6" style="2" bestFit="1" customWidth="1"/>
    <col min="275" max="275" width="7.85546875" style="2" bestFit="1" customWidth="1"/>
    <col min="276" max="276" width="5.85546875" style="2" bestFit="1" customWidth="1"/>
    <col min="277" max="277" width="6.85546875" style="2" bestFit="1" customWidth="1"/>
    <col min="278" max="278" width="6" style="2" bestFit="1" customWidth="1"/>
    <col min="279" max="279" width="7.85546875" style="2" bestFit="1" customWidth="1"/>
    <col min="280" max="280" width="8.5703125" style="2" customWidth="1"/>
    <col min="281" max="281" width="6.85546875" style="2" bestFit="1" customWidth="1"/>
    <col min="282" max="282" width="7.5703125" style="2" customWidth="1"/>
    <col min="283" max="283" width="8.42578125" style="2" customWidth="1"/>
    <col min="284" max="284" width="8" style="2" customWidth="1"/>
    <col min="285" max="285" width="8.7109375" style="2" customWidth="1"/>
    <col min="286" max="286" width="9.42578125" style="2" customWidth="1"/>
    <col min="287" max="287" width="9.7109375" style="2" customWidth="1"/>
    <col min="288" max="288" width="10.28515625" style="2" customWidth="1"/>
    <col min="289" max="289" width="10" style="2" customWidth="1"/>
    <col min="290" max="291" width="8" style="2" customWidth="1"/>
    <col min="292" max="292" width="7.42578125" style="2" customWidth="1"/>
    <col min="293" max="293" width="7.85546875" style="2" customWidth="1"/>
    <col min="294" max="294" width="7.5703125" style="2" bestFit="1" customWidth="1"/>
    <col min="295" max="295" width="7.85546875" style="2" bestFit="1" customWidth="1"/>
    <col min="296" max="296" width="8.7109375" style="2" customWidth="1"/>
    <col min="297" max="297" width="9.42578125" style="2" customWidth="1"/>
    <col min="298" max="298" width="8.42578125" style="2" customWidth="1"/>
    <col min="299" max="299" width="8" style="2" customWidth="1"/>
    <col min="300" max="300" width="6.7109375" style="2" customWidth="1"/>
    <col min="301" max="301" width="8" style="2" customWidth="1"/>
    <col min="302" max="305" width="0" style="2" hidden="1" customWidth="1"/>
    <col min="306" max="306" width="8" style="2" customWidth="1"/>
    <col min="307" max="307" width="8.28515625" style="2" customWidth="1"/>
    <col min="308" max="308" width="8.42578125" style="2" customWidth="1"/>
    <col min="309" max="309" width="7.42578125" style="2" customWidth="1"/>
    <col min="310" max="311" width="9.140625" style="2" bestFit="1" customWidth="1"/>
    <col min="312" max="312" width="9.140625" style="2" customWidth="1"/>
    <col min="313" max="313" width="9.140625" style="2" bestFit="1" customWidth="1"/>
    <col min="314" max="314" width="5.7109375" style="2" customWidth="1"/>
    <col min="315" max="315" width="7.85546875" style="2" customWidth="1"/>
    <col min="316" max="316" width="6.85546875" style="2" customWidth="1"/>
    <col min="317" max="317" width="4" style="2" customWidth="1"/>
    <col min="318" max="318" width="7" style="2" customWidth="1"/>
    <col min="319" max="319" width="7.85546875" style="2" customWidth="1"/>
    <col min="320" max="320" width="6.85546875" style="2" customWidth="1"/>
    <col min="321" max="321" width="7.140625" style="2" customWidth="1"/>
    <col min="322" max="322" width="9.5703125" style="2" customWidth="1"/>
    <col min="323" max="323" width="9.42578125" style="2" customWidth="1"/>
    <col min="324" max="324" width="9" style="2" customWidth="1"/>
    <col min="325" max="325" width="9.85546875" style="2" customWidth="1"/>
    <col min="326" max="326" width="5.42578125" style="2" customWidth="1"/>
    <col min="327" max="495" width="9.85546875" style="2"/>
    <col min="496" max="496" width="27.85546875" style="2" customWidth="1"/>
    <col min="497" max="497" width="5.7109375" style="2" customWidth="1"/>
    <col min="498" max="498" width="9.85546875" style="2" customWidth="1"/>
    <col min="499" max="499" width="9.140625" style="2" customWidth="1"/>
    <col min="500" max="505" width="9.140625" style="2" bestFit="1" customWidth="1"/>
    <col min="506" max="506" width="7.5703125" style="2" customWidth="1"/>
    <col min="507" max="507" width="8.7109375" style="2" customWidth="1"/>
    <col min="508" max="508" width="7.7109375" style="2" customWidth="1"/>
    <col min="509" max="509" width="9.140625" style="2" bestFit="1" customWidth="1"/>
    <col min="510" max="510" width="8" style="2" customWidth="1"/>
    <col min="511" max="511" width="8.42578125" style="2" bestFit="1" customWidth="1"/>
    <col min="512" max="512" width="6.5703125" style="2" bestFit="1" customWidth="1"/>
    <col min="513" max="513" width="10" style="2" customWidth="1"/>
    <col min="514" max="514" width="9.140625" style="2" customWidth="1"/>
    <col min="515" max="515" width="9" style="2" customWidth="1"/>
    <col min="516" max="516" width="10.42578125" style="2" customWidth="1"/>
    <col min="517" max="517" width="8.42578125" style="2" customWidth="1"/>
    <col min="518" max="518" width="9.5703125" style="2" customWidth="1"/>
    <col min="519" max="519" width="9.42578125" style="2" customWidth="1"/>
    <col min="520" max="520" width="8.5703125" style="2" customWidth="1"/>
    <col min="521" max="521" width="9.140625" style="2" customWidth="1"/>
    <col min="522" max="522" width="8.140625" style="2" customWidth="1"/>
    <col min="523" max="523" width="8.85546875" style="2" customWidth="1"/>
    <col min="524" max="524" width="8.140625" style="2" customWidth="1"/>
    <col min="525" max="525" width="8.85546875" style="2" customWidth="1"/>
    <col min="526" max="527" width="9.28515625" style="2" customWidth="1"/>
    <col min="528" max="528" width="8.42578125" style="2" customWidth="1"/>
    <col min="529" max="529" width="8.140625" style="2" customWidth="1"/>
    <col min="530" max="530" width="6" style="2" bestFit="1" customWidth="1"/>
    <col min="531" max="531" width="7.85546875" style="2" bestFit="1" customWidth="1"/>
    <col min="532" max="532" width="5.85546875" style="2" bestFit="1" customWidth="1"/>
    <col min="533" max="533" width="6.85546875" style="2" bestFit="1" customWidth="1"/>
    <col min="534" max="534" width="6" style="2" bestFit="1" customWidth="1"/>
    <col min="535" max="535" width="7.85546875" style="2" bestFit="1" customWidth="1"/>
    <col min="536" max="536" width="8.5703125" style="2" customWidth="1"/>
    <col min="537" max="537" width="6.85546875" style="2" bestFit="1" customWidth="1"/>
    <col min="538" max="538" width="7.5703125" style="2" customWidth="1"/>
    <col min="539" max="539" width="8.42578125" style="2" customWidth="1"/>
    <col min="540" max="540" width="8" style="2" customWidth="1"/>
    <col min="541" max="541" width="8.7109375" style="2" customWidth="1"/>
    <col min="542" max="542" width="9.42578125" style="2" customWidth="1"/>
    <col min="543" max="543" width="9.7109375" style="2" customWidth="1"/>
    <col min="544" max="544" width="10.28515625" style="2" customWidth="1"/>
    <col min="545" max="545" width="10" style="2" customWidth="1"/>
    <col min="546" max="547" width="8" style="2" customWidth="1"/>
    <col min="548" max="548" width="7.42578125" style="2" customWidth="1"/>
    <col min="549" max="549" width="7.85546875" style="2" customWidth="1"/>
    <col min="550" max="550" width="7.5703125" style="2" bestFit="1" customWidth="1"/>
    <col min="551" max="551" width="7.85546875" style="2" bestFit="1" customWidth="1"/>
    <col min="552" max="552" width="8.7109375" style="2" customWidth="1"/>
    <col min="553" max="553" width="9.42578125" style="2" customWidth="1"/>
    <col min="554" max="554" width="8.42578125" style="2" customWidth="1"/>
    <col min="555" max="555" width="8" style="2" customWidth="1"/>
    <col min="556" max="556" width="6.7109375" style="2" customWidth="1"/>
    <col min="557" max="557" width="8" style="2" customWidth="1"/>
    <col min="558" max="561" width="0" style="2" hidden="1" customWidth="1"/>
    <col min="562" max="562" width="8" style="2" customWidth="1"/>
    <col min="563" max="563" width="8.28515625" style="2" customWidth="1"/>
    <col min="564" max="564" width="8.42578125" style="2" customWidth="1"/>
    <col min="565" max="565" width="7.42578125" style="2" customWidth="1"/>
    <col min="566" max="567" width="9.140625" style="2" bestFit="1" customWidth="1"/>
    <col min="568" max="568" width="9.140625" style="2" customWidth="1"/>
    <col min="569" max="569" width="9.140625" style="2" bestFit="1" customWidth="1"/>
    <col min="570" max="570" width="5.7109375" style="2" customWidth="1"/>
    <col min="571" max="571" width="7.85546875" style="2" customWidth="1"/>
    <col min="572" max="572" width="6.85546875" style="2" customWidth="1"/>
    <col min="573" max="573" width="4" style="2" customWidth="1"/>
    <col min="574" max="574" width="7" style="2" customWidth="1"/>
    <col min="575" max="575" width="7.85546875" style="2" customWidth="1"/>
    <col min="576" max="576" width="6.85546875" style="2" customWidth="1"/>
    <col min="577" max="577" width="7.140625" style="2" customWidth="1"/>
    <col min="578" max="578" width="9.5703125" style="2" customWidth="1"/>
    <col min="579" max="579" width="9.42578125" style="2" customWidth="1"/>
    <col min="580" max="580" width="9" style="2" customWidth="1"/>
    <col min="581" max="581" width="9.85546875" style="2" customWidth="1"/>
    <col min="582" max="582" width="5.42578125" style="2" customWidth="1"/>
    <col min="583" max="751" width="9.85546875" style="2"/>
    <col min="752" max="752" width="27.85546875" style="2" customWidth="1"/>
    <col min="753" max="753" width="5.7109375" style="2" customWidth="1"/>
    <col min="754" max="754" width="9.85546875" style="2" customWidth="1"/>
    <col min="755" max="755" width="9.140625" style="2" customWidth="1"/>
    <col min="756" max="761" width="9.140625" style="2" bestFit="1" customWidth="1"/>
    <col min="762" max="762" width="7.5703125" style="2" customWidth="1"/>
    <col min="763" max="763" width="8.7109375" style="2" customWidth="1"/>
    <col min="764" max="764" width="7.7109375" style="2" customWidth="1"/>
    <col min="765" max="765" width="9.140625" style="2" bestFit="1" customWidth="1"/>
    <col min="766" max="766" width="8" style="2" customWidth="1"/>
    <col min="767" max="767" width="8.42578125" style="2" bestFit="1" customWidth="1"/>
    <col min="768" max="768" width="6.5703125" style="2" bestFit="1" customWidth="1"/>
    <col min="769" max="769" width="10" style="2" customWidth="1"/>
    <col min="770" max="770" width="9.140625" style="2" customWidth="1"/>
    <col min="771" max="771" width="9" style="2" customWidth="1"/>
    <col min="772" max="772" width="10.42578125" style="2" customWidth="1"/>
    <col min="773" max="773" width="8.42578125" style="2" customWidth="1"/>
    <col min="774" max="774" width="9.5703125" style="2" customWidth="1"/>
    <col min="775" max="775" width="9.42578125" style="2" customWidth="1"/>
    <col min="776" max="776" width="8.5703125" style="2" customWidth="1"/>
    <col min="777" max="777" width="9.140625" style="2" customWidth="1"/>
    <col min="778" max="778" width="8.140625" style="2" customWidth="1"/>
    <col min="779" max="779" width="8.85546875" style="2" customWidth="1"/>
    <col min="780" max="780" width="8.140625" style="2" customWidth="1"/>
    <col min="781" max="781" width="8.85546875" style="2" customWidth="1"/>
    <col min="782" max="783" width="9.28515625" style="2" customWidth="1"/>
    <col min="784" max="784" width="8.42578125" style="2" customWidth="1"/>
    <col min="785" max="785" width="8.140625" style="2" customWidth="1"/>
    <col min="786" max="786" width="6" style="2" bestFit="1" customWidth="1"/>
    <col min="787" max="787" width="7.85546875" style="2" bestFit="1" customWidth="1"/>
    <col min="788" max="788" width="5.85546875" style="2" bestFit="1" customWidth="1"/>
    <col min="789" max="789" width="6.85546875" style="2" bestFit="1" customWidth="1"/>
    <col min="790" max="790" width="6" style="2" bestFit="1" customWidth="1"/>
    <col min="791" max="791" width="7.85546875" style="2" bestFit="1" customWidth="1"/>
    <col min="792" max="792" width="8.5703125" style="2" customWidth="1"/>
    <col min="793" max="793" width="6.85546875" style="2" bestFit="1" customWidth="1"/>
    <col min="794" max="794" width="7.5703125" style="2" customWidth="1"/>
    <col min="795" max="795" width="8.42578125" style="2" customWidth="1"/>
    <col min="796" max="796" width="8" style="2" customWidth="1"/>
    <col min="797" max="797" width="8.7109375" style="2" customWidth="1"/>
    <col min="798" max="798" width="9.42578125" style="2" customWidth="1"/>
    <col min="799" max="799" width="9.7109375" style="2" customWidth="1"/>
    <col min="800" max="800" width="10.28515625" style="2" customWidth="1"/>
    <col min="801" max="801" width="10" style="2" customWidth="1"/>
    <col min="802" max="803" width="8" style="2" customWidth="1"/>
    <col min="804" max="804" width="7.42578125" style="2" customWidth="1"/>
    <col min="805" max="805" width="7.85546875" style="2" customWidth="1"/>
    <col min="806" max="806" width="7.5703125" style="2" bestFit="1" customWidth="1"/>
    <col min="807" max="807" width="7.85546875" style="2" bestFit="1" customWidth="1"/>
    <col min="808" max="808" width="8.7109375" style="2" customWidth="1"/>
    <col min="809" max="809" width="9.42578125" style="2" customWidth="1"/>
    <col min="810" max="810" width="8.42578125" style="2" customWidth="1"/>
    <col min="811" max="811" width="8" style="2" customWidth="1"/>
    <col min="812" max="812" width="6.7109375" style="2" customWidth="1"/>
    <col min="813" max="813" width="8" style="2" customWidth="1"/>
    <col min="814" max="817" width="0" style="2" hidden="1" customWidth="1"/>
    <col min="818" max="818" width="8" style="2" customWidth="1"/>
    <col min="819" max="819" width="8.28515625" style="2" customWidth="1"/>
    <col min="820" max="820" width="8.42578125" style="2" customWidth="1"/>
    <col min="821" max="821" width="7.42578125" style="2" customWidth="1"/>
    <col min="822" max="823" width="9.140625" style="2" bestFit="1" customWidth="1"/>
    <col min="824" max="824" width="9.140625" style="2" customWidth="1"/>
    <col min="825" max="825" width="9.140625" style="2" bestFit="1" customWidth="1"/>
    <col min="826" max="826" width="5.7109375" style="2" customWidth="1"/>
    <col min="827" max="827" width="7.85546875" style="2" customWidth="1"/>
    <col min="828" max="828" width="6.85546875" style="2" customWidth="1"/>
    <col min="829" max="829" width="4" style="2" customWidth="1"/>
    <col min="830" max="830" width="7" style="2" customWidth="1"/>
    <col min="831" max="831" width="7.85546875" style="2" customWidth="1"/>
    <col min="832" max="832" width="6.85546875" style="2" customWidth="1"/>
    <col min="833" max="833" width="7.140625" style="2" customWidth="1"/>
    <col min="834" max="834" width="9.5703125" style="2" customWidth="1"/>
    <col min="835" max="835" width="9.42578125" style="2" customWidth="1"/>
    <col min="836" max="836" width="9" style="2" customWidth="1"/>
    <col min="837" max="837" width="9.85546875" style="2" customWidth="1"/>
    <col min="838" max="838" width="5.42578125" style="2" customWidth="1"/>
    <col min="839" max="1007" width="9.85546875" style="2"/>
    <col min="1008" max="1008" width="27.85546875" style="2" customWidth="1"/>
    <col min="1009" max="1009" width="5.7109375" style="2" customWidth="1"/>
    <col min="1010" max="1010" width="9.85546875" style="2" customWidth="1"/>
    <col min="1011" max="1011" width="9.140625" style="2" customWidth="1"/>
    <col min="1012" max="1017" width="9.140625" style="2" bestFit="1" customWidth="1"/>
    <col min="1018" max="1018" width="7.5703125" style="2" customWidth="1"/>
    <col min="1019" max="1019" width="8.7109375" style="2" customWidth="1"/>
    <col min="1020" max="1020" width="7.7109375" style="2" customWidth="1"/>
    <col min="1021" max="1021" width="9.140625" style="2" bestFit="1" customWidth="1"/>
    <col min="1022" max="1022" width="8" style="2" customWidth="1"/>
    <col min="1023" max="1023" width="8.42578125" style="2" bestFit="1" customWidth="1"/>
    <col min="1024" max="1024" width="6.5703125" style="2" bestFit="1" customWidth="1"/>
    <col min="1025" max="1025" width="10" style="2" customWidth="1"/>
    <col min="1026" max="1026" width="9.140625" style="2" customWidth="1"/>
    <col min="1027" max="1027" width="9" style="2" customWidth="1"/>
    <col min="1028" max="1028" width="10.42578125" style="2" customWidth="1"/>
    <col min="1029" max="1029" width="8.42578125" style="2" customWidth="1"/>
    <col min="1030" max="1030" width="9.5703125" style="2" customWidth="1"/>
    <col min="1031" max="1031" width="9.42578125" style="2" customWidth="1"/>
    <col min="1032" max="1032" width="8.5703125" style="2" customWidth="1"/>
    <col min="1033" max="1033" width="9.140625" style="2" customWidth="1"/>
    <col min="1034" max="1034" width="8.140625" style="2" customWidth="1"/>
    <col min="1035" max="1035" width="8.85546875" style="2" customWidth="1"/>
    <col min="1036" max="1036" width="8.140625" style="2" customWidth="1"/>
    <col min="1037" max="1037" width="8.85546875" style="2" customWidth="1"/>
    <col min="1038" max="1039" width="9.28515625" style="2" customWidth="1"/>
    <col min="1040" max="1040" width="8.42578125" style="2" customWidth="1"/>
    <col min="1041" max="1041" width="8.140625" style="2" customWidth="1"/>
    <col min="1042" max="1042" width="6" style="2" bestFit="1" customWidth="1"/>
    <col min="1043" max="1043" width="7.85546875" style="2" bestFit="1" customWidth="1"/>
    <col min="1044" max="1044" width="5.85546875" style="2" bestFit="1" customWidth="1"/>
    <col min="1045" max="1045" width="6.85546875" style="2" bestFit="1" customWidth="1"/>
    <col min="1046" max="1046" width="6" style="2" bestFit="1" customWidth="1"/>
    <col min="1047" max="1047" width="7.85546875" style="2" bestFit="1" customWidth="1"/>
    <col min="1048" max="1048" width="8.5703125" style="2" customWidth="1"/>
    <col min="1049" max="1049" width="6.85546875" style="2" bestFit="1" customWidth="1"/>
    <col min="1050" max="1050" width="7.5703125" style="2" customWidth="1"/>
    <col min="1051" max="1051" width="8.42578125" style="2" customWidth="1"/>
    <col min="1052" max="1052" width="8" style="2" customWidth="1"/>
    <col min="1053" max="1053" width="8.7109375" style="2" customWidth="1"/>
    <col min="1054" max="1054" width="9.42578125" style="2" customWidth="1"/>
    <col min="1055" max="1055" width="9.7109375" style="2" customWidth="1"/>
    <col min="1056" max="1056" width="10.28515625" style="2" customWidth="1"/>
    <col min="1057" max="1057" width="10" style="2" customWidth="1"/>
    <col min="1058" max="1059" width="8" style="2" customWidth="1"/>
    <col min="1060" max="1060" width="7.42578125" style="2" customWidth="1"/>
    <col min="1061" max="1061" width="7.85546875" style="2" customWidth="1"/>
    <col min="1062" max="1062" width="7.5703125" style="2" bestFit="1" customWidth="1"/>
    <col min="1063" max="1063" width="7.85546875" style="2" bestFit="1" customWidth="1"/>
    <col min="1064" max="1064" width="8.7109375" style="2" customWidth="1"/>
    <col min="1065" max="1065" width="9.42578125" style="2" customWidth="1"/>
    <col min="1066" max="1066" width="8.42578125" style="2" customWidth="1"/>
    <col min="1067" max="1067" width="8" style="2" customWidth="1"/>
    <col min="1068" max="1068" width="6.7109375" style="2" customWidth="1"/>
    <col min="1069" max="1069" width="8" style="2" customWidth="1"/>
    <col min="1070" max="1073" width="0" style="2" hidden="1" customWidth="1"/>
    <col min="1074" max="1074" width="8" style="2" customWidth="1"/>
    <col min="1075" max="1075" width="8.28515625" style="2" customWidth="1"/>
    <col min="1076" max="1076" width="8.42578125" style="2" customWidth="1"/>
    <col min="1077" max="1077" width="7.42578125" style="2" customWidth="1"/>
    <col min="1078" max="1079" width="9.140625" style="2" bestFit="1" customWidth="1"/>
    <col min="1080" max="1080" width="9.140625" style="2" customWidth="1"/>
    <col min="1081" max="1081" width="9.140625" style="2" bestFit="1" customWidth="1"/>
    <col min="1082" max="1082" width="5.7109375" style="2" customWidth="1"/>
    <col min="1083" max="1083" width="7.85546875" style="2" customWidth="1"/>
    <col min="1084" max="1084" width="6.85546875" style="2" customWidth="1"/>
    <col min="1085" max="1085" width="4" style="2" customWidth="1"/>
    <col min="1086" max="1086" width="7" style="2" customWidth="1"/>
    <col min="1087" max="1087" width="7.85546875" style="2" customWidth="1"/>
    <col min="1088" max="1088" width="6.85546875" style="2" customWidth="1"/>
    <col min="1089" max="1089" width="7.140625" style="2" customWidth="1"/>
    <col min="1090" max="1090" width="9.5703125" style="2" customWidth="1"/>
    <col min="1091" max="1091" width="9.42578125" style="2" customWidth="1"/>
    <col min="1092" max="1092" width="9" style="2" customWidth="1"/>
    <col min="1093" max="1093" width="9.85546875" style="2" customWidth="1"/>
    <col min="1094" max="1094" width="5.42578125" style="2" customWidth="1"/>
    <col min="1095" max="1263" width="9.85546875" style="2"/>
    <col min="1264" max="1264" width="27.85546875" style="2" customWidth="1"/>
    <col min="1265" max="1265" width="5.7109375" style="2" customWidth="1"/>
    <col min="1266" max="1266" width="9.85546875" style="2" customWidth="1"/>
    <col min="1267" max="1267" width="9.140625" style="2" customWidth="1"/>
    <col min="1268" max="1273" width="9.140625" style="2" bestFit="1" customWidth="1"/>
    <col min="1274" max="1274" width="7.5703125" style="2" customWidth="1"/>
    <col min="1275" max="1275" width="8.7109375" style="2" customWidth="1"/>
    <col min="1276" max="1276" width="7.7109375" style="2" customWidth="1"/>
    <col min="1277" max="1277" width="9.140625" style="2" bestFit="1" customWidth="1"/>
    <col min="1278" max="1278" width="8" style="2" customWidth="1"/>
    <col min="1279" max="1279" width="8.42578125" style="2" bestFit="1" customWidth="1"/>
    <col min="1280" max="1280" width="6.5703125" style="2" bestFit="1" customWidth="1"/>
    <col min="1281" max="1281" width="10" style="2" customWidth="1"/>
    <col min="1282" max="1282" width="9.140625" style="2" customWidth="1"/>
    <col min="1283" max="1283" width="9" style="2" customWidth="1"/>
    <col min="1284" max="1284" width="10.42578125" style="2" customWidth="1"/>
    <col min="1285" max="1285" width="8.42578125" style="2" customWidth="1"/>
    <col min="1286" max="1286" width="9.5703125" style="2" customWidth="1"/>
    <col min="1287" max="1287" width="9.42578125" style="2" customWidth="1"/>
    <col min="1288" max="1288" width="8.5703125" style="2" customWidth="1"/>
    <col min="1289" max="1289" width="9.140625" style="2" customWidth="1"/>
    <col min="1290" max="1290" width="8.140625" style="2" customWidth="1"/>
    <col min="1291" max="1291" width="8.85546875" style="2" customWidth="1"/>
    <col min="1292" max="1292" width="8.140625" style="2" customWidth="1"/>
    <col min="1293" max="1293" width="8.85546875" style="2" customWidth="1"/>
    <col min="1294" max="1295" width="9.28515625" style="2" customWidth="1"/>
    <col min="1296" max="1296" width="8.42578125" style="2" customWidth="1"/>
    <col min="1297" max="1297" width="8.140625" style="2" customWidth="1"/>
    <col min="1298" max="1298" width="6" style="2" bestFit="1" customWidth="1"/>
    <col min="1299" max="1299" width="7.85546875" style="2" bestFit="1" customWidth="1"/>
    <col min="1300" max="1300" width="5.85546875" style="2" bestFit="1" customWidth="1"/>
    <col min="1301" max="1301" width="6.85546875" style="2" bestFit="1" customWidth="1"/>
    <col min="1302" max="1302" width="6" style="2" bestFit="1" customWidth="1"/>
    <col min="1303" max="1303" width="7.85546875" style="2" bestFit="1" customWidth="1"/>
    <col min="1304" max="1304" width="8.5703125" style="2" customWidth="1"/>
    <col min="1305" max="1305" width="6.85546875" style="2" bestFit="1" customWidth="1"/>
    <col min="1306" max="1306" width="7.5703125" style="2" customWidth="1"/>
    <col min="1307" max="1307" width="8.42578125" style="2" customWidth="1"/>
    <col min="1308" max="1308" width="8" style="2" customWidth="1"/>
    <col min="1309" max="1309" width="8.7109375" style="2" customWidth="1"/>
    <col min="1310" max="1310" width="9.42578125" style="2" customWidth="1"/>
    <col min="1311" max="1311" width="9.7109375" style="2" customWidth="1"/>
    <col min="1312" max="1312" width="10.28515625" style="2" customWidth="1"/>
    <col min="1313" max="1313" width="10" style="2" customWidth="1"/>
    <col min="1314" max="1315" width="8" style="2" customWidth="1"/>
    <col min="1316" max="1316" width="7.42578125" style="2" customWidth="1"/>
    <col min="1317" max="1317" width="7.85546875" style="2" customWidth="1"/>
    <col min="1318" max="1318" width="7.5703125" style="2" bestFit="1" customWidth="1"/>
    <col min="1319" max="1319" width="7.85546875" style="2" bestFit="1" customWidth="1"/>
    <col min="1320" max="1320" width="8.7109375" style="2" customWidth="1"/>
    <col min="1321" max="1321" width="9.42578125" style="2" customWidth="1"/>
    <col min="1322" max="1322" width="8.42578125" style="2" customWidth="1"/>
    <col min="1323" max="1323" width="8" style="2" customWidth="1"/>
    <col min="1324" max="1324" width="6.7109375" style="2" customWidth="1"/>
    <col min="1325" max="1325" width="8" style="2" customWidth="1"/>
    <col min="1326" max="1329" width="0" style="2" hidden="1" customWidth="1"/>
    <col min="1330" max="1330" width="8" style="2" customWidth="1"/>
    <col min="1331" max="1331" width="8.28515625" style="2" customWidth="1"/>
    <col min="1332" max="1332" width="8.42578125" style="2" customWidth="1"/>
    <col min="1333" max="1333" width="7.42578125" style="2" customWidth="1"/>
    <col min="1334" max="1335" width="9.140625" style="2" bestFit="1" customWidth="1"/>
    <col min="1336" max="1336" width="9.140625" style="2" customWidth="1"/>
    <col min="1337" max="1337" width="9.140625" style="2" bestFit="1" customWidth="1"/>
    <col min="1338" max="1338" width="5.7109375" style="2" customWidth="1"/>
    <col min="1339" max="1339" width="7.85546875" style="2" customWidth="1"/>
    <col min="1340" max="1340" width="6.85546875" style="2" customWidth="1"/>
    <col min="1341" max="1341" width="4" style="2" customWidth="1"/>
    <col min="1342" max="1342" width="7" style="2" customWidth="1"/>
    <col min="1343" max="1343" width="7.85546875" style="2" customWidth="1"/>
    <col min="1344" max="1344" width="6.85546875" style="2" customWidth="1"/>
    <col min="1345" max="1345" width="7.140625" style="2" customWidth="1"/>
    <col min="1346" max="1346" width="9.5703125" style="2" customWidth="1"/>
    <col min="1347" max="1347" width="9.42578125" style="2" customWidth="1"/>
    <col min="1348" max="1348" width="9" style="2" customWidth="1"/>
    <col min="1349" max="1349" width="9.85546875" style="2" customWidth="1"/>
    <col min="1350" max="1350" width="5.42578125" style="2" customWidth="1"/>
    <col min="1351" max="1519" width="9.85546875" style="2"/>
    <col min="1520" max="1520" width="27.85546875" style="2" customWidth="1"/>
    <col min="1521" max="1521" width="5.7109375" style="2" customWidth="1"/>
    <col min="1522" max="1522" width="9.85546875" style="2" customWidth="1"/>
    <col min="1523" max="1523" width="9.140625" style="2" customWidth="1"/>
    <col min="1524" max="1529" width="9.140625" style="2" bestFit="1" customWidth="1"/>
    <col min="1530" max="1530" width="7.5703125" style="2" customWidth="1"/>
    <col min="1531" max="1531" width="8.7109375" style="2" customWidth="1"/>
    <col min="1532" max="1532" width="7.7109375" style="2" customWidth="1"/>
    <col min="1533" max="1533" width="9.140625" style="2" bestFit="1" customWidth="1"/>
    <col min="1534" max="1534" width="8" style="2" customWidth="1"/>
    <col min="1535" max="1535" width="8.42578125" style="2" bestFit="1" customWidth="1"/>
    <col min="1536" max="1536" width="6.5703125" style="2" bestFit="1" customWidth="1"/>
    <col min="1537" max="1537" width="10" style="2" customWidth="1"/>
    <col min="1538" max="1538" width="9.140625" style="2" customWidth="1"/>
    <col min="1539" max="1539" width="9" style="2" customWidth="1"/>
    <col min="1540" max="1540" width="10.42578125" style="2" customWidth="1"/>
    <col min="1541" max="1541" width="8.42578125" style="2" customWidth="1"/>
    <col min="1542" max="1542" width="9.5703125" style="2" customWidth="1"/>
    <col min="1543" max="1543" width="9.42578125" style="2" customWidth="1"/>
    <col min="1544" max="1544" width="8.5703125" style="2" customWidth="1"/>
    <col min="1545" max="1545" width="9.140625" style="2" customWidth="1"/>
    <col min="1546" max="1546" width="8.140625" style="2" customWidth="1"/>
    <col min="1547" max="1547" width="8.85546875" style="2" customWidth="1"/>
    <col min="1548" max="1548" width="8.140625" style="2" customWidth="1"/>
    <col min="1549" max="1549" width="8.85546875" style="2" customWidth="1"/>
    <col min="1550" max="1551" width="9.28515625" style="2" customWidth="1"/>
    <col min="1552" max="1552" width="8.42578125" style="2" customWidth="1"/>
    <col min="1553" max="1553" width="8.140625" style="2" customWidth="1"/>
    <col min="1554" max="1554" width="6" style="2" bestFit="1" customWidth="1"/>
    <col min="1555" max="1555" width="7.85546875" style="2" bestFit="1" customWidth="1"/>
    <col min="1556" max="1556" width="5.85546875" style="2" bestFit="1" customWidth="1"/>
    <col min="1557" max="1557" width="6.85546875" style="2" bestFit="1" customWidth="1"/>
    <col min="1558" max="1558" width="6" style="2" bestFit="1" customWidth="1"/>
    <col min="1559" max="1559" width="7.85546875" style="2" bestFit="1" customWidth="1"/>
    <col min="1560" max="1560" width="8.5703125" style="2" customWidth="1"/>
    <col min="1561" max="1561" width="6.85546875" style="2" bestFit="1" customWidth="1"/>
    <col min="1562" max="1562" width="7.5703125" style="2" customWidth="1"/>
    <col min="1563" max="1563" width="8.42578125" style="2" customWidth="1"/>
    <col min="1564" max="1564" width="8" style="2" customWidth="1"/>
    <col min="1565" max="1565" width="8.7109375" style="2" customWidth="1"/>
    <col min="1566" max="1566" width="9.42578125" style="2" customWidth="1"/>
    <col min="1567" max="1567" width="9.7109375" style="2" customWidth="1"/>
    <col min="1568" max="1568" width="10.28515625" style="2" customWidth="1"/>
    <col min="1569" max="1569" width="10" style="2" customWidth="1"/>
    <col min="1570" max="1571" width="8" style="2" customWidth="1"/>
    <col min="1572" max="1572" width="7.42578125" style="2" customWidth="1"/>
    <col min="1573" max="1573" width="7.85546875" style="2" customWidth="1"/>
    <col min="1574" max="1574" width="7.5703125" style="2" bestFit="1" customWidth="1"/>
    <col min="1575" max="1575" width="7.85546875" style="2" bestFit="1" customWidth="1"/>
    <col min="1576" max="1576" width="8.7109375" style="2" customWidth="1"/>
    <col min="1577" max="1577" width="9.42578125" style="2" customWidth="1"/>
    <col min="1578" max="1578" width="8.42578125" style="2" customWidth="1"/>
    <col min="1579" max="1579" width="8" style="2" customWidth="1"/>
    <col min="1580" max="1580" width="6.7109375" style="2" customWidth="1"/>
    <col min="1581" max="1581" width="8" style="2" customWidth="1"/>
    <col min="1582" max="1585" width="0" style="2" hidden="1" customWidth="1"/>
    <col min="1586" max="1586" width="8" style="2" customWidth="1"/>
    <col min="1587" max="1587" width="8.28515625" style="2" customWidth="1"/>
    <col min="1588" max="1588" width="8.42578125" style="2" customWidth="1"/>
    <col min="1589" max="1589" width="7.42578125" style="2" customWidth="1"/>
    <col min="1590" max="1591" width="9.140625" style="2" bestFit="1" customWidth="1"/>
    <col min="1592" max="1592" width="9.140625" style="2" customWidth="1"/>
    <col min="1593" max="1593" width="9.140625" style="2" bestFit="1" customWidth="1"/>
    <col min="1594" max="1594" width="5.7109375" style="2" customWidth="1"/>
    <col min="1595" max="1595" width="7.85546875" style="2" customWidth="1"/>
    <col min="1596" max="1596" width="6.85546875" style="2" customWidth="1"/>
    <col min="1597" max="1597" width="4" style="2" customWidth="1"/>
    <col min="1598" max="1598" width="7" style="2" customWidth="1"/>
    <col min="1599" max="1599" width="7.85546875" style="2" customWidth="1"/>
    <col min="1600" max="1600" width="6.85546875" style="2" customWidth="1"/>
    <col min="1601" max="1601" width="7.140625" style="2" customWidth="1"/>
    <col min="1602" max="1602" width="9.5703125" style="2" customWidth="1"/>
    <col min="1603" max="1603" width="9.42578125" style="2" customWidth="1"/>
    <col min="1604" max="1604" width="9" style="2" customWidth="1"/>
    <col min="1605" max="1605" width="9.85546875" style="2" customWidth="1"/>
    <col min="1606" max="1606" width="5.42578125" style="2" customWidth="1"/>
    <col min="1607" max="1775" width="9.85546875" style="2"/>
    <col min="1776" max="1776" width="27.85546875" style="2" customWidth="1"/>
    <col min="1777" max="1777" width="5.7109375" style="2" customWidth="1"/>
    <col min="1778" max="1778" width="9.85546875" style="2" customWidth="1"/>
    <col min="1779" max="1779" width="9.140625" style="2" customWidth="1"/>
    <col min="1780" max="1785" width="9.140625" style="2" bestFit="1" customWidth="1"/>
    <col min="1786" max="1786" width="7.5703125" style="2" customWidth="1"/>
    <col min="1787" max="1787" width="8.7109375" style="2" customWidth="1"/>
    <col min="1788" max="1788" width="7.7109375" style="2" customWidth="1"/>
    <col min="1789" max="1789" width="9.140625" style="2" bestFit="1" customWidth="1"/>
    <col min="1790" max="1790" width="8" style="2" customWidth="1"/>
    <col min="1791" max="1791" width="8.42578125" style="2" bestFit="1" customWidth="1"/>
    <col min="1792" max="1792" width="6.5703125" style="2" bestFit="1" customWidth="1"/>
    <col min="1793" max="1793" width="10" style="2" customWidth="1"/>
    <col min="1794" max="1794" width="9.140625" style="2" customWidth="1"/>
    <col min="1795" max="1795" width="9" style="2" customWidth="1"/>
    <col min="1796" max="1796" width="10.42578125" style="2" customWidth="1"/>
    <col min="1797" max="1797" width="8.42578125" style="2" customWidth="1"/>
    <col min="1798" max="1798" width="9.5703125" style="2" customWidth="1"/>
    <col min="1799" max="1799" width="9.42578125" style="2" customWidth="1"/>
    <col min="1800" max="1800" width="8.5703125" style="2" customWidth="1"/>
    <col min="1801" max="1801" width="9.140625" style="2" customWidth="1"/>
    <col min="1802" max="1802" width="8.140625" style="2" customWidth="1"/>
    <col min="1803" max="1803" width="8.85546875" style="2" customWidth="1"/>
    <col min="1804" max="1804" width="8.140625" style="2" customWidth="1"/>
    <col min="1805" max="1805" width="8.85546875" style="2" customWidth="1"/>
    <col min="1806" max="1807" width="9.28515625" style="2" customWidth="1"/>
    <col min="1808" max="1808" width="8.42578125" style="2" customWidth="1"/>
    <col min="1809" max="1809" width="8.140625" style="2" customWidth="1"/>
    <col min="1810" max="1810" width="6" style="2" bestFit="1" customWidth="1"/>
    <col min="1811" max="1811" width="7.85546875" style="2" bestFit="1" customWidth="1"/>
    <col min="1812" max="1812" width="5.85546875" style="2" bestFit="1" customWidth="1"/>
    <col min="1813" max="1813" width="6.85546875" style="2" bestFit="1" customWidth="1"/>
    <col min="1814" max="1814" width="6" style="2" bestFit="1" customWidth="1"/>
    <col min="1815" max="1815" width="7.85546875" style="2" bestFit="1" customWidth="1"/>
    <col min="1816" max="1816" width="8.5703125" style="2" customWidth="1"/>
    <col min="1817" max="1817" width="6.85546875" style="2" bestFit="1" customWidth="1"/>
    <col min="1818" max="1818" width="7.5703125" style="2" customWidth="1"/>
    <col min="1819" max="1819" width="8.42578125" style="2" customWidth="1"/>
    <col min="1820" max="1820" width="8" style="2" customWidth="1"/>
    <col min="1821" max="1821" width="8.7109375" style="2" customWidth="1"/>
    <col min="1822" max="1822" width="9.42578125" style="2" customWidth="1"/>
    <col min="1823" max="1823" width="9.7109375" style="2" customWidth="1"/>
    <col min="1824" max="1824" width="10.28515625" style="2" customWidth="1"/>
    <col min="1825" max="1825" width="10" style="2" customWidth="1"/>
    <col min="1826" max="1827" width="8" style="2" customWidth="1"/>
    <col min="1828" max="1828" width="7.42578125" style="2" customWidth="1"/>
    <col min="1829" max="1829" width="7.85546875" style="2" customWidth="1"/>
    <col min="1830" max="1830" width="7.5703125" style="2" bestFit="1" customWidth="1"/>
    <col min="1831" max="1831" width="7.85546875" style="2" bestFit="1" customWidth="1"/>
    <col min="1832" max="1832" width="8.7109375" style="2" customWidth="1"/>
    <col min="1833" max="1833" width="9.42578125" style="2" customWidth="1"/>
    <col min="1834" max="1834" width="8.42578125" style="2" customWidth="1"/>
    <col min="1835" max="1835" width="8" style="2" customWidth="1"/>
    <col min="1836" max="1836" width="6.7109375" style="2" customWidth="1"/>
    <col min="1837" max="1837" width="8" style="2" customWidth="1"/>
    <col min="1838" max="1841" width="0" style="2" hidden="1" customWidth="1"/>
    <col min="1842" max="1842" width="8" style="2" customWidth="1"/>
    <col min="1843" max="1843" width="8.28515625" style="2" customWidth="1"/>
    <col min="1844" max="1844" width="8.42578125" style="2" customWidth="1"/>
    <col min="1845" max="1845" width="7.42578125" style="2" customWidth="1"/>
    <col min="1846" max="1847" width="9.140625" style="2" bestFit="1" customWidth="1"/>
    <col min="1848" max="1848" width="9.140625" style="2" customWidth="1"/>
    <col min="1849" max="1849" width="9.140625" style="2" bestFit="1" customWidth="1"/>
    <col min="1850" max="1850" width="5.7109375" style="2" customWidth="1"/>
    <col min="1851" max="1851" width="7.85546875" style="2" customWidth="1"/>
    <col min="1852" max="1852" width="6.85546875" style="2" customWidth="1"/>
    <col min="1853" max="1853" width="4" style="2" customWidth="1"/>
    <col min="1854" max="1854" width="7" style="2" customWidth="1"/>
    <col min="1855" max="1855" width="7.85546875" style="2" customWidth="1"/>
    <col min="1856" max="1856" width="6.85546875" style="2" customWidth="1"/>
    <col min="1857" max="1857" width="7.140625" style="2" customWidth="1"/>
    <col min="1858" max="1858" width="9.5703125" style="2" customWidth="1"/>
    <col min="1859" max="1859" width="9.42578125" style="2" customWidth="1"/>
    <col min="1860" max="1860" width="9" style="2" customWidth="1"/>
    <col min="1861" max="1861" width="9.85546875" style="2" customWidth="1"/>
    <col min="1862" max="1862" width="5.42578125" style="2" customWidth="1"/>
    <col min="1863" max="2031" width="9.85546875" style="2"/>
    <col min="2032" max="2032" width="27.85546875" style="2" customWidth="1"/>
    <col min="2033" max="2033" width="5.7109375" style="2" customWidth="1"/>
    <col min="2034" max="2034" width="9.85546875" style="2" customWidth="1"/>
    <col min="2035" max="2035" width="9.140625" style="2" customWidth="1"/>
    <col min="2036" max="2041" width="9.140625" style="2" bestFit="1" customWidth="1"/>
    <col min="2042" max="2042" width="7.5703125" style="2" customWidth="1"/>
    <col min="2043" max="2043" width="8.7109375" style="2" customWidth="1"/>
    <col min="2044" max="2044" width="7.7109375" style="2" customWidth="1"/>
    <col min="2045" max="2045" width="9.140625" style="2" bestFit="1" customWidth="1"/>
    <col min="2046" max="2046" width="8" style="2" customWidth="1"/>
    <col min="2047" max="2047" width="8.42578125" style="2" bestFit="1" customWidth="1"/>
    <col min="2048" max="2048" width="6.5703125" style="2" bestFit="1" customWidth="1"/>
    <col min="2049" max="2049" width="10" style="2" customWidth="1"/>
    <col min="2050" max="2050" width="9.140625" style="2" customWidth="1"/>
    <col min="2051" max="2051" width="9" style="2" customWidth="1"/>
    <col min="2052" max="2052" width="10.42578125" style="2" customWidth="1"/>
    <col min="2053" max="2053" width="8.42578125" style="2" customWidth="1"/>
    <col min="2054" max="2054" width="9.5703125" style="2" customWidth="1"/>
    <col min="2055" max="2055" width="9.42578125" style="2" customWidth="1"/>
    <col min="2056" max="2056" width="8.5703125" style="2" customWidth="1"/>
    <col min="2057" max="2057" width="9.140625" style="2" customWidth="1"/>
    <col min="2058" max="2058" width="8.140625" style="2" customWidth="1"/>
    <col min="2059" max="2059" width="8.85546875" style="2" customWidth="1"/>
    <col min="2060" max="2060" width="8.140625" style="2" customWidth="1"/>
    <col min="2061" max="2061" width="8.85546875" style="2" customWidth="1"/>
    <col min="2062" max="2063" width="9.28515625" style="2" customWidth="1"/>
    <col min="2064" max="2064" width="8.42578125" style="2" customWidth="1"/>
    <col min="2065" max="2065" width="8.140625" style="2" customWidth="1"/>
    <col min="2066" max="2066" width="6" style="2" bestFit="1" customWidth="1"/>
    <col min="2067" max="2067" width="7.85546875" style="2" bestFit="1" customWidth="1"/>
    <col min="2068" max="2068" width="5.85546875" style="2" bestFit="1" customWidth="1"/>
    <col min="2069" max="2069" width="6.85546875" style="2" bestFit="1" customWidth="1"/>
    <col min="2070" max="2070" width="6" style="2" bestFit="1" customWidth="1"/>
    <col min="2071" max="2071" width="7.85546875" style="2" bestFit="1" customWidth="1"/>
    <col min="2072" max="2072" width="8.5703125" style="2" customWidth="1"/>
    <col min="2073" max="2073" width="6.85546875" style="2" bestFit="1" customWidth="1"/>
    <col min="2074" max="2074" width="7.5703125" style="2" customWidth="1"/>
    <col min="2075" max="2075" width="8.42578125" style="2" customWidth="1"/>
    <col min="2076" max="2076" width="8" style="2" customWidth="1"/>
    <col min="2077" max="2077" width="8.7109375" style="2" customWidth="1"/>
    <col min="2078" max="2078" width="9.42578125" style="2" customWidth="1"/>
    <col min="2079" max="2079" width="9.7109375" style="2" customWidth="1"/>
    <col min="2080" max="2080" width="10.28515625" style="2" customWidth="1"/>
    <col min="2081" max="2081" width="10" style="2" customWidth="1"/>
    <col min="2082" max="2083" width="8" style="2" customWidth="1"/>
    <col min="2084" max="2084" width="7.42578125" style="2" customWidth="1"/>
    <col min="2085" max="2085" width="7.85546875" style="2" customWidth="1"/>
    <col min="2086" max="2086" width="7.5703125" style="2" bestFit="1" customWidth="1"/>
    <col min="2087" max="2087" width="7.85546875" style="2" bestFit="1" customWidth="1"/>
    <col min="2088" max="2088" width="8.7109375" style="2" customWidth="1"/>
    <col min="2089" max="2089" width="9.42578125" style="2" customWidth="1"/>
    <col min="2090" max="2090" width="8.42578125" style="2" customWidth="1"/>
    <col min="2091" max="2091" width="8" style="2" customWidth="1"/>
    <col min="2092" max="2092" width="6.7109375" style="2" customWidth="1"/>
    <col min="2093" max="2093" width="8" style="2" customWidth="1"/>
    <col min="2094" max="2097" width="0" style="2" hidden="1" customWidth="1"/>
    <col min="2098" max="2098" width="8" style="2" customWidth="1"/>
    <col min="2099" max="2099" width="8.28515625" style="2" customWidth="1"/>
    <col min="2100" max="2100" width="8.42578125" style="2" customWidth="1"/>
    <col min="2101" max="2101" width="7.42578125" style="2" customWidth="1"/>
    <col min="2102" max="2103" width="9.140625" style="2" bestFit="1" customWidth="1"/>
    <col min="2104" max="2104" width="9.140625" style="2" customWidth="1"/>
    <col min="2105" max="2105" width="9.140625" style="2" bestFit="1" customWidth="1"/>
    <col min="2106" max="2106" width="5.7109375" style="2" customWidth="1"/>
    <col min="2107" max="2107" width="7.85546875" style="2" customWidth="1"/>
    <col min="2108" max="2108" width="6.85546875" style="2" customWidth="1"/>
    <col min="2109" max="2109" width="4" style="2" customWidth="1"/>
    <col min="2110" max="2110" width="7" style="2" customWidth="1"/>
    <col min="2111" max="2111" width="7.85546875" style="2" customWidth="1"/>
    <col min="2112" max="2112" width="6.85546875" style="2" customWidth="1"/>
    <col min="2113" max="2113" width="7.140625" style="2" customWidth="1"/>
    <col min="2114" max="2114" width="9.5703125" style="2" customWidth="1"/>
    <col min="2115" max="2115" width="9.42578125" style="2" customWidth="1"/>
    <col min="2116" max="2116" width="9" style="2" customWidth="1"/>
    <col min="2117" max="2117" width="9.85546875" style="2" customWidth="1"/>
    <col min="2118" max="2118" width="5.42578125" style="2" customWidth="1"/>
    <col min="2119" max="2287" width="9.85546875" style="2"/>
    <col min="2288" max="2288" width="27.85546875" style="2" customWidth="1"/>
    <col min="2289" max="2289" width="5.7109375" style="2" customWidth="1"/>
    <col min="2290" max="2290" width="9.85546875" style="2" customWidth="1"/>
    <col min="2291" max="2291" width="9.140625" style="2" customWidth="1"/>
    <col min="2292" max="2297" width="9.140625" style="2" bestFit="1" customWidth="1"/>
    <col min="2298" max="2298" width="7.5703125" style="2" customWidth="1"/>
    <col min="2299" max="2299" width="8.7109375" style="2" customWidth="1"/>
    <col min="2300" max="2300" width="7.7109375" style="2" customWidth="1"/>
    <col min="2301" max="2301" width="9.140625" style="2" bestFit="1" customWidth="1"/>
    <col min="2302" max="2302" width="8" style="2" customWidth="1"/>
    <col min="2303" max="2303" width="8.42578125" style="2" bestFit="1" customWidth="1"/>
    <col min="2304" max="2304" width="6.5703125" style="2" bestFit="1" customWidth="1"/>
    <col min="2305" max="2305" width="10" style="2" customWidth="1"/>
    <col min="2306" max="2306" width="9.140625" style="2" customWidth="1"/>
    <col min="2307" max="2307" width="9" style="2" customWidth="1"/>
    <col min="2308" max="2308" width="10.42578125" style="2" customWidth="1"/>
    <col min="2309" max="2309" width="8.42578125" style="2" customWidth="1"/>
    <col min="2310" max="2310" width="9.5703125" style="2" customWidth="1"/>
    <col min="2311" max="2311" width="9.42578125" style="2" customWidth="1"/>
    <col min="2312" max="2312" width="8.5703125" style="2" customWidth="1"/>
    <col min="2313" max="2313" width="9.140625" style="2" customWidth="1"/>
    <col min="2314" max="2314" width="8.140625" style="2" customWidth="1"/>
    <col min="2315" max="2315" width="8.85546875" style="2" customWidth="1"/>
    <col min="2316" max="2316" width="8.140625" style="2" customWidth="1"/>
    <col min="2317" max="2317" width="8.85546875" style="2" customWidth="1"/>
    <col min="2318" max="2319" width="9.28515625" style="2" customWidth="1"/>
    <col min="2320" max="2320" width="8.42578125" style="2" customWidth="1"/>
    <col min="2321" max="2321" width="8.140625" style="2" customWidth="1"/>
    <col min="2322" max="2322" width="6" style="2" bestFit="1" customWidth="1"/>
    <col min="2323" max="2323" width="7.85546875" style="2" bestFit="1" customWidth="1"/>
    <col min="2324" max="2324" width="5.85546875" style="2" bestFit="1" customWidth="1"/>
    <col min="2325" max="2325" width="6.85546875" style="2" bestFit="1" customWidth="1"/>
    <col min="2326" max="2326" width="6" style="2" bestFit="1" customWidth="1"/>
    <col min="2327" max="2327" width="7.85546875" style="2" bestFit="1" customWidth="1"/>
    <col min="2328" max="2328" width="8.5703125" style="2" customWidth="1"/>
    <col min="2329" max="2329" width="6.85546875" style="2" bestFit="1" customWidth="1"/>
    <col min="2330" max="2330" width="7.5703125" style="2" customWidth="1"/>
    <col min="2331" max="2331" width="8.42578125" style="2" customWidth="1"/>
    <col min="2332" max="2332" width="8" style="2" customWidth="1"/>
    <col min="2333" max="2333" width="8.7109375" style="2" customWidth="1"/>
    <col min="2334" max="2334" width="9.42578125" style="2" customWidth="1"/>
    <col min="2335" max="2335" width="9.7109375" style="2" customWidth="1"/>
    <col min="2336" max="2336" width="10.28515625" style="2" customWidth="1"/>
    <col min="2337" max="2337" width="10" style="2" customWidth="1"/>
    <col min="2338" max="2339" width="8" style="2" customWidth="1"/>
    <col min="2340" max="2340" width="7.42578125" style="2" customWidth="1"/>
    <col min="2341" max="2341" width="7.85546875" style="2" customWidth="1"/>
    <col min="2342" max="2342" width="7.5703125" style="2" bestFit="1" customWidth="1"/>
    <col min="2343" max="2343" width="7.85546875" style="2" bestFit="1" customWidth="1"/>
    <col min="2344" max="2344" width="8.7109375" style="2" customWidth="1"/>
    <col min="2345" max="2345" width="9.42578125" style="2" customWidth="1"/>
    <col min="2346" max="2346" width="8.42578125" style="2" customWidth="1"/>
    <col min="2347" max="2347" width="8" style="2" customWidth="1"/>
    <col min="2348" max="2348" width="6.7109375" style="2" customWidth="1"/>
    <col min="2349" max="2349" width="8" style="2" customWidth="1"/>
    <col min="2350" max="2353" width="0" style="2" hidden="1" customWidth="1"/>
    <col min="2354" max="2354" width="8" style="2" customWidth="1"/>
    <col min="2355" max="2355" width="8.28515625" style="2" customWidth="1"/>
    <col min="2356" max="2356" width="8.42578125" style="2" customWidth="1"/>
    <col min="2357" max="2357" width="7.42578125" style="2" customWidth="1"/>
    <col min="2358" max="2359" width="9.140625" style="2" bestFit="1" customWidth="1"/>
    <col min="2360" max="2360" width="9.140625" style="2" customWidth="1"/>
    <col min="2361" max="2361" width="9.140625" style="2" bestFit="1" customWidth="1"/>
    <col min="2362" max="2362" width="5.7109375" style="2" customWidth="1"/>
    <col min="2363" max="2363" width="7.85546875" style="2" customWidth="1"/>
    <col min="2364" max="2364" width="6.85546875" style="2" customWidth="1"/>
    <col min="2365" max="2365" width="4" style="2" customWidth="1"/>
    <col min="2366" max="2366" width="7" style="2" customWidth="1"/>
    <col min="2367" max="2367" width="7.85546875" style="2" customWidth="1"/>
    <col min="2368" max="2368" width="6.85546875" style="2" customWidth="1"/>
    <col min="2369" max="2369" width="7.140625" style="2" customWidth="1"/>
    <col min="2370" max="2370" width="9.5703125" style="2" customWidth="1"/>
    <col min="2371" max="2371" width="9.42578125" style="2" customWidth="1"/>
    <col min="2372" max="2372" width="9" style="2" customWidth="1"/>
    <col min="2373" max="2373" width="9.85546875" style="2" customWidth="1"/>
    <col min="2374" max="2374" width="5.42578125" style="2" customWidth="1"/>
    <col min="2375" max="2543" width="9.85546875" style="2"/>
    <col min="2544" max="2544" width="27.85546875" style="2" customWidth="1"/>
    <col min="2545" max="2545" width="5.7109375" style="2" customWidth="1"/>
    <col min="2546" max="2546" width="9.85546875" style="2" customWidth="1"/>
    <col min="2547" max="2547" width="9.140625" style="2" customWidth="1"/>
    <col min="2548" max="2553" width="9.140625" style="2" bestFit="1" customWidth="1"/>
    <col min="2554" max="2554" width="7.5703125" style="2" customWidth="1"/>
    <col min="2555" max="2555" width="8.7109375" style="2" customWidth="1"/>
    <col min="2556" max="2556" width="7.7109375" style="2" customWidth="1"/>
    <col min="2557" max="2557" width="9.140625" style="2" bestFit="1" customWidth="1"/>
    <col min="2558" max="2558" width="8" style="2" customWidth="1"/>
    <col min="2559" max="2559" width="8.42578125" style="2" bestFit="1" customWidth="1"/>
    <col min="2560" max="2560" width="6.5703125" style="2" bestFit="1" customWidth="1"/>
    <col min="2561" max="2561" width="10" style="2" customWidth="1"/>
    <col min="2562" max="2562" width="9.140625" style="2" customWidth="1"/>
    <col min="2563" max="2563" width="9" style="2" customWidth="1"/>
    <col min="2564" max="2564" width="10.42578125" style="2" customWidth="1"/>
    <col min="2565" max="2565" width="8.42578125" style="2" customWidth="1"/>
    <col min="2566" max="2566" width="9.5703125" style="2" customWidth="1"/>
    <col min="2567" max="2567" width="9.42578125" style="2" customWidth="1"/>
    <col min="2568" max="2568" width="8.5703125" style="2" customWidth="1"/>
    <col min="2569" max="2569" width="9.140625" style="2" customWidth="1"/>
    <col min="2570" max="2570" width="8.140625" style="2" customWidth="1"/>
    <col min="2571" max="2571" width="8.85546875" style="2" customWidth="1"/>
    <col min="2572" max="2572" width="8.140625" style="2" customWidth="1"/>
    <col min="2573" max="2573" width="8.85546875" style="2" customWidth="1"/>
    <col min="2574" max="2575" width="9.28515625" style="2" customWidth="1"/>
    <col min="2576" max="2576" width="8.42578125" style="2" customWidth="1"/>
    <col min="2577" max="2577" width="8.140625" style="2" customWidth="1"/>
    <col min="2578" max="2578" width="6" style="2" bestFit="1" customWidth="1"/>
    <col min="2579" max="2579" width="7.85546875" style="2" bestFit="1" customWidth="1"/>
    <col min="2580" max="2580" width="5.85546875" style="2" bestFit="1" customWidth="1"/>
    <col min="2581" max="2581" width="6.85546875" style="2" bestFit="1" customWidth="1"/>
    <col min="2582" max="2582" width="6" style="2" bestFit="1" customWidth="1"/>
    <col min="2583" max="2583" width="7.85546875" style="2" bestFit="1" customWidth="1"/>
    <col min="2584" max="2584" width="8.5703125" style="2" customWidth="1"/>
    <col min="2585" max="2585" width="6.85546875" style="2" bestFit="1" customWidth="1"/>
    <col min="2586" max="2586" width="7.5703125" style="2" customWidth="1"/>
    <col min="2587" max="2587" width="8.42578125" style="2" customWidth="1"/>
    <col min="2588" max="2588" width="8" style="2" customWidth="1"/>
    <col min="2589" max="2589" width="8.7109375" style="2" customWidth="1"/>
    <col min="2590" max="2590" width="9.42578125" style="2" customWidth="1"/>
    <col min="2591" max="2591" width="9.7109375" style="2" customWidth="1"/>
    <col min="2592" max="2592" width="10.28515625" style="2" customWidth="1"/>
    <col min="2593" max="2593" width="10" style="2" customWidth="1"/>
    <col min="2594" max="2595" width="8" style="2" customWidth="1"/>
    <col min="2596" max="2596" width="7.42578125" style="2" customWidth="1"/>
    <col min="2597" max="2597" width="7.85546875" style="2" customWidth="1"/>
    <col min="2598" max="2598" width="7.5703125" style="2" bestFit="1" customWidth="1"/>
    <col min="2599" max="2599" width="7.85546875" style="2" bestFit="1" customWidth="1"/>
    <col min="2600" max="2600" width="8.7109375" style="2" customWidth="1"/>
    <col min="2601" max="2601" width="9.42578125" style="2" customWidth="1"/>
    <col min="2602" max="2602" width="8.42578125" style="2" customWidth="1"/>
    <col min="2603" max="2603" width="8" style="2" customWidth="1"/>
    <col min="2604" max="2604" width="6.7109375" style="2" customWidth="1"/>
    <col min="2605" max="2605" width="8" style="2" customWidth="1"/>
    <col min="2606" max="2609" width="0" style="2" hidden="1" customWidth="1"/>
    <col min="2610" max="2610" width="8" style="2" customWidth="1"/>
    <col min="2611" max="2611" width="8.28515625" style="2" customWidth="1"/>
    <col min="2612" max="2612" width="8.42578125" style="2" customWidth="1"/>
    <col min="2613" max="2613" width="7.42578125" style="2" customWidth="1"/>
    <col min="2614" max="2615" width="9.140625" style="2" bestFit="1" customWidth="1"/>
    <col min="2616" max="2616" width="9.140625" style="2" customWidth="1"/>
    <col min="2617" max="2617" width="9.140625" style="2" bestFit="1" customWidth="1"/>
    <col min="2618" max="2618" width="5.7109375" style="2" customWidth="1"/>
    <col min="2619" max="2619" width="7.85546875" style="2" customWidth="1"/>
    <col min="2620" max="2620" width="6.85546875" style="2" customWidth="1"/>
    <col min="2621" max="2621" width="4" style="2" customWidth="1"/>
    <col min="2622" max="2622" width="7" style="2" customWidth="1"/>
    <col min="2623" max="2623" width="7.85546875" style="2" customWidth="1"/>
    <col min="2624" max="2624" width="6.85546875" style="2" customWidth="1"/>
    <col min="2625" max="2625" width="7.140625" style="2" customWidth="1"/>
    <col min="2626" max="2626" width="9.5703125" style="2" customWidth="1"/>
    <col min="2627" max="2627" width="9.42578125" style="2" customWidth="1"/>
    <col min="2628" max="2628" width="9" style="2" customWidth="1"/>
    <col min="2629" max="2629" width="9.85546875" style="2" customWidth="1"/>
    <col min="2630" max="2630" width="5.42578125" style="2" customWidth="1"/>
    <col min="2631" max="2799" width="9.85546875" style="2"/>
    <col min="2800" max="2800" width="27.85546875" style="2" customWidth="1"/>
    <col min="2801" max="2801" width="5.7109375" style="2" customWidth="1"/>
    <col min="2802" max="2802" width="9.85546875" style="2" customWidth="1"/>
    <col min="2803" max="2803" width="9.140625" style="2" customWidth="1"/>
    <col min="2804" max="2809" width="9.140625" style="2" bestFit="1" customWidth="1"/>
    <col min="2810" max="2810" width="7.5703125" style="2" customWidth="1"/>
    <col min="2811" max="2811" width="8.7109375" style="2" customWidth="1"/>
    <col min="2812" max="2812" width="7.7109375" style="2" customWidth="1"/>
    <col min="2813" max="2813" width="9.140625" style="2" bestFit="1" customWidth="1"/>
    <col min="2814" max="2814" width="8" style="2" customWidth="1"/>
    <col min="2815" max="2815" width="8.42578125" style="2" bestFit="1" customWidth="1"/>
    <col min="2816" max="2816" width="6.5703125" style="2" bestFit="1" customWidth="1"/>
    <col min="2817" max="2817" width="10" style="2" customWidth="1"/>
    <col min="2818" max="2818" width="9.140625" style="2" customWidth="1"/>
    <col min="2819" max="2819" width="9" style="2" customWidth="1"/>
    <col min="2820" max="2820" width="10.42578125" style="2" customWidth="1"/>
    <col min="2821" max="2821" width="8.42578125" style="2" customWidth="1"/>
    <col min="2822" max="2822" width="9.5703125" style="2" customWidth="1"/>
    <col min="2823" max="2823" width="9.42578125" style="2" customWidth="1"/>
    <col min="2824" max="2824" width="8.5703125" style="2" customWidth="1"/>
    <col min="2825" max="2825" width="9.140625" style="2" customWidth="1"/>
    <col min="2826" max="2826" width="8.140625" style="2" customWidth="1"/>
    <col min="2827" max="2827" width="8.85546875" style="2" customWidth="1"/>
    <col min="2828" max="2828" width="8.140625" style="2" customWidth="1"/>
    <col min="2829" max="2829" width="8.85546875" style="2" customWidth="1"/>
    <col min="2830" max="2831" width="9.28515625" style="2" customWidth="1"/>
    <col min="2832" max="2832" width="8.42578125" style="2" customWidth="1"/>
    <col min="2833" max="2833" width="8.140625" style="2" customWidth="1"/>
    <col min="2834" max="2834" width="6" style="2" bestFit="1" customWidth="1"/>
    <col min="2835" max="2835" width="7.85546875" style="2" bestFit="1" customWidth="1"/>
    <col min="2836" max="2836" width="5.85546875" style="2" bestFit="1" customWidth="1"/>
    <col min="2837" max="2837" width="6.85546875" style="2" bestFit="1" customWidth="1"/>
    <col min="2838" max="2838" width="6" style="2" bestFit="1" customWidth="1"/>
    <col min="2839" max="2839" width="7.85546875" style="2" bestFit="1" customWidth="1"/>
    <col min="2840" max="2840" width="8.5703125" style="2" customWidth="1"/>
    <col min="2841" max="2841" width="6.85546875" style="2" bestFit="1" customWidth="1"/>
    <col min="2842" max="2842" width="7.5703125" style="2" customWidth="1"/>
    <col min="2843" max="2843" width="8.42578125" style="2" customWidth="1"/>
    <col min="2844" max="2844" width="8" style="2" customWidth="1"/>
    <col min="2845" max="2845" width="8.7109375" style="2" customWidth="1"/>
    <col min="2846" max="2846" width="9.42578125" style="2" customWidth="1"/>
    <col min="2847" max="2847" width="9.7109375" style="2" customWidth="1"/>
    <col min="2848" max="2848" width="10.28515625" style="2" customWidth="1"/>
    <col min="2849" max="2849" width="10" style="2" customWidth="1"/>
    <col min="2850" max="2851" width="8" style="2" customWidth="1"/>
    <col min="2852" max="2852" width="7.42578125" style="2" customWidth="1"/>
    <col min="2853" max="2853" width="7.85546875" style="2" customWidth="1"/>
    <col min="2854" max="2854" width="7.5703125" style="2" bestFit="1" customWidth="1"/>
    <col min="2855" max="2855" width="7.85546875" style="2" bestFit="1" customWidth="1"/>
    <col min="2856" max="2856" width="8.7109375" style="2" customWidth="1"/>
    <col min="2857" max="2857" width="9.42578125" style="2" customWidth="1"/>
    <col min="2858" max="2858" width="8.42578125" style="2" customWidth="1"/>
    <col min="2859" max="2859" width="8" style="2" customWidth="1"/>
    <col min="2860" max="2860" width="6.7109375" style="2" customWidth="1"/>
    <col min="2861" max="2861" width="8" style="2" customWidth="1"/>
    <col min="2862" max="2865" width="0" style="2" hidden="1" customWidth="1"/>
    <col min="2866" max="2866" width="8" style="2" customWidth="1"/>
    <col min="2867" max="2867" width="8.28515625" style="2" customWidth="1"/>
    <col min="2868" max="2868" width="8.42578125" style="2" customWidth="1"/>
    <col min="2869" max="2869" width="7.42578125" style="2" customWidth="1"/>
    <col min="2870" max="2871" width="9.140625" style="2" bestFit="1" customWidth="1"/>
    <col min="2872" max="2872" width="9.140625" style="2" customWidth="1"/>
    <col min="2873" max="2873" width="9.140625" style="2" bestFit="1" customWidth="1"/>
    <col min="2874" max="2874" width="5.7109375" style="2" customWidth="1"/>
    <col min="2875" max="2875" width="7.85546875" style="2" customWidth="1"/>
    <col min="2876" max="2876" width="6.85546875" style="2" customWidth="1"/>
    <col min="2877" max="2877" width="4" style="2" customWidth="1"/>
    <col min="2878" max="2878" width="7" style="2" customWidth="1"/>
    <col min="2879" max="2879" width="7.85546875" style="2" customWidth="1"/>
    <col min="2880" max="2880" width="6.85546875" style="2" customWidth="1"/>
    <col min="2881" max="2881" width="7.140625" style="2" customWidth="1"/>
    <col min="2882" max="2882" width="9.5703125" style="2" customWidth="1"/>
    <col min="2883" max="2883" width="9.42578125" style="2" customWidth="1"/>
    <col min="2884" max="2884" width="9" style="2" customWidth="1"/>
    <col min="2885" max="2885" width="9.85546875" style="2" customWidth="1"/>
    <col min="2886" max="2886" width="5.42578125" style="2" customWidth="1"/>
    <col min="2887" max="3055" width="9.85546875" style="2"/>
    <col min="3056" max="3056" width="27.85546875" style="2" customWidth="1"/>
    <col min="3057" max="3057" width="5.7109375" style="2" customWidth="1"/>
    <col min="3058" max="3058" width="9.85546875" style="2" customWidth="1"/>
    <col min="3059" max="3059" width="9.140625" style="2" customWidth="1"/>
    <col min="3060" max="3065" width="9.140625" style="2" bestFit="1" customWidth="1"/>
    <col min="3066" max="3066" width="7.5703125" style="2" customWidth="1"/>
    <col min="3067" max="3067" width="8.7109375" style="2" customWidth="1"/>
    <col min="3068" max="3068" width="7.7109375" style="2" customWidth="1"/>
    <col min="3069" max="3069" width="9.140625" style="2" bestFit="1" customWidth="1"/>
    <col min="3070" max="3070" width="8" style="2" customWidth="1"/>
    <col min="3071" max="3071" width="8.42578125" style="2" bestFit="1" customWidth="1"/>
    <col min="3072" max="3072" width="6.5703125" style="2" bestFit="1" customWidth="1"/>
    <col min="3073" max="3073" width="10" style="2" customWidth="1"/>
    <col min="3074" max="3074" width="9.140625" style="2" customWidth="1"/>
    <col min="3075" max="3075" width="9" style="2" customWidth="1"/>
    <col min="3076" max="3076" width="10.42578125" style="2" customWidth="1"/>
    <col min="3077" max="3077" width="8.42578125" style="2" customWidth="1"/>
    <col min="3078" max="3078" width="9.5703125" style="2" customWidth="1"/>
    <col min="3079" max="3079" width="9.42578125" style="2" customWidth="1"/>
    <col min="3080" max="3080" width="8.5703125" style="2" customWidth="1"/>
    <col min="3081" max="3081" width="9.140625" style="2" customWidth="1"/>
    <col min="3082" max="3082" width="8.140625" style="2" customWidth="1"/>
    <col min="3083" max="3083" width="8.85546875" style="2" customWidth="1"/>
    <col min="3084" max="3084" width="8.140625" style="2" customWidth="1"/>
    <col min="3085" max="3085" width="8.85546875" style="2" customWidth="1"/>
    <col min="3086" max="3087" width="9.28515625" style="2" customWidth="1"/>
    <col min="3088" max="3088" width="8.42578125" style="2" customWidth="1"/>
    <col min="3089" max="3089" width="8.140625" style="2" customWidth="1"/>
    <col min="3090" max="3090" width="6" style="2" bestFit="1" customWidth="1"/>
    <col min="3091" max="3091" width="7.85546875" style="2" bestFit="1" customWidth="1"/>
    <col min="3092" max="3092" width="5.85546875" style="2" bestFit="1" customWidth="1"/>
    <col min="3093" max="3093" width="6.85546875" style="2" bestFit="1" customWidth="1"/>
    <col min="3094" max="3094" width="6" style="2" bestFit="1" customWidth="1"/>
    <col min="3095" max="3095" width="7.85546875" style="2" bestFit="1" customWidth="1"/>
    <col min="3096" max="3096" width="8.5703125" style="2" customWidth="1"/>
    <col min="3097" max="3097" width="6.85546875" style="2" bestFit="1" customWidth="1"/>
    <col min="3098" max="3098" width="7.5703125" style="2" customWidth="1"/>
    <col min="3099" max="3099" width="8.42578125" style="2" customWidth="1"/>
    <col min="3100" max="3100" width="8" style="2" customWidth="1"/>
    <col min="3101" max="3101" width="8.7109375" style="2" customWidth="1"/>
    <col min="3102" max="3102" width="9.42578125" style="2" customWidth="1"/>
    <col min="3103" max="3103" width="9.7109375" style="2" customWidth="1"/>
    <col min="3104" max="3104" width="10.28515625" style="2" customWidth="1"/>
    <col min="3105" max="3105" width="10" style="2" customWidth="1"/>
    <col min="3106" max="3107" width="8" style="2" customWidth="1"/>
    <col min="3108" max="3108" width="7.42578125" style="2" customWidth="1"/>
    <col min="3109" max="3109" width="7.85546875" style="2" customWidth="1"/>
    <col min="3110" max="3110" width="7.5703125" style="2" bestFit="1" customWidth="1"/>
    <col min="3111" max="3111" width="7.85546875" style="2" bestFit="1" customWidth="1"/>
    <col min="3112" max="3112" width="8.7109375" style="2" customWidth="1"/>
    <col min="3113" max="3113" width="9.42578125" style="2" customWidth="1"/>
    <col min="3114" max="3114" width="8.42578125" style="2" customWidth="1"/>
    <col min="3115" max="3115" width="8" style="2" customWidth="1"/>
    <col min="3116" max="3116" width="6.7109375" style="2" customWidth="1"/>
    <col min="3117" max="3117" width="8" style="2" customWidth="1"/>
    <col min="3118" max="3121" width="0" style="2" hidden="1" customWidth="1"/>
    <col min="3122" max="3122" width="8" style="2" customWidth="1"/>
    <col min="3123" max="3123" width="8.28515625" style="2" customWidth="1"/>
    <col min="3124" max="3124" width="8.42578125" style="2" customWidth="1"/>
    <col min="3125" max="3125" width="7.42578125" style="2" customWidth="1"/>
    <col min="3126" max="3127" width="9.140625" style="2" bestFit="1" customWidth="1"/>
    <col min="3128" max="3128" width="9.140625" style="2" customWidth="1"/>
    <col min="3129" max="3129" width="9.140625" style="2" bestFit="1" customWidth="1"/>
    <col min="3130" max="3130" width="5.7109375" style="2" customWidth="1"/>
    <col min="3131" max="3131" width="7.85546875" style="2" customWidth="1"/>
    <col min="3132" max="3132" width="6.85546875" style="2" customWidth="1"/>
    <col min="3133" max="3133" width="4" style="2" customWidth="1"/>
    <col min="3134" max="3134" width="7" style="2" customWidth="1"/>
    <col min="3135" max="3135" width="7.85546875" style="2" customWidth="1"/>
    <col min="3136" max="3136" width="6.85546875" style="2" customWidth="1"/>
    <col min="3137" max="3137" width="7.140625" style="2" customWidth="1"/>
    <col min="3138" max="3138" width="9.5703125" style="2" customWidth="1"/>
    <col min="3139" max="3139" width="9.42578125" style="2" customWidth="1"/>
    <col min="3140" max="3140" width="9" style="2" customWidth="1"/>
    <col min="3141" max="3141" width="9.85546875" style="2" customWidth="1"/>
    <col min="3142" max="3142" width="5.42578125" style="2" customWidth="1"/>
    <col min="3143" max="3311" width="9.85546875" style="2"/>
    <col min="3312" max="3312" width="27.85546875" style="2" customWidth="1"/>
    <col min="3313" max="3313" width="5.7109375" style="2" customWidth="1"/>
    <col min="3314" max="3314" width="9.85546875" style="2" customWidth="1"/>
    <col min="3315" max="3315" width="9.140625" style="2" customWidth="1"/>
    <col min="3316" max="3321" width="9.140625" style="2" bestFit="1" customWidth="1"/>
    <col min="3322" max="3322" width="7.5703125" style="2" customWidth="1"/>
    <col min="3323" max="3323" width="8.7109375" style="2" customWidth="1"/>
    <col min="3324" max="3324" width="7.7109375" style="2" customWidth="1"/>
    <col min="3325" max="3325" width="9.140625" style="2" bestFit="1" customWidth="1"/>
    <col min="3326" max="3326" width="8" style="2" customWidth="1"/>
    <col min="3327" max="3327" width="8.42578125" style="2" bestFit="1" customWidth="1"/>
    <col min="3328" max="3328" width="6.5703125" style="2" bestFit="1" customWidth="1"/>
    <col min="3329" max="3329" width="10" style="2" customWidth="1"/>
    <col min="3330" max="3330" width="9.140625" style="2" customWidth="1"/>
    <col min="3331" max="3331" width="9" style="2" customWidth="1"/>
    <col min="3332" max="3332" width="10.42578125" style="2" customWidth="1"/>
    <col min="3333" max="3333" width="8.42578125" style="2" customWidth="1"/>
    <col min="3334" max="3334" width="9.5703125" style="2" customWidth="1"/>
    <col min="3335" max="3335" width="9.42578125" style="2" customWidth="1"/>
    <col min="3336" max="3336" width="8.5703125" style="2" customWidth="1"/>
    <col min="3337" max="3337" width="9.140625" style="2" customWidth="1"/>
    <col min="3338" max="3338" width="8.140625" style="2" customWidth="1"/>
    <col min="3339" max="3339" width="8.85546875" style="2" customWidth="1"/>
    <col min="3340" max="3340" width="8.140625" style="2" customWidth="1"/>
    <col min="3341" max="3341" width="8.85546875" style="2" customWidth="1"/>
    <col min="3342" max="3343" width="9.28515625" style="2" customWidth="1"/>
    <col min="3344" max="3344" width="8.42578125" style="2" customWidth="1"/>
    <col min="3345" max="3345" width="8.140625" style="2" customWidth="1"/>
    <col min="3346" max="3346" width="6" style="2" bestFit="1" customWidth="1"/>
    <col min="3347" max="3347" width="7.85546875" style="2" bestFit="1" customWidth="1"/>
    <col min="3348" max="3348" width="5.85546875" style="2" bestFit="1" customWidth="1"/>
    <col min="3349" max="3349" width="6.85546875" style="2" bestFit="1" customWidth="1"/>
    <col min="3350" max="3350" width="6" style="2" bestFit="1" customWidth="1"/>
    <col min="3351" max="3351" width="7.85546875" style="2" bestFit="1" customWidth="1"/>
    <col min="3352" max="3352" width="8.5703125" style="2" customWidth="1"/>
    <col min="3353" max="3353" width="6.85546875" style="2" bestFit="1" customWidth="1"/>
    <col min="3354" max="3354" width="7.5703125" style="2" customWidth="1"/>
    <col min="3355" max="3355" width="8.42578125" style="2" customWidth="1"/>
    <col min="3356" max="3356" width="8" style="2" customWidth="1"/>
    <col min="3357" max="3357" width="8.7109375" style="2" customWidth="1"/>
    <col min="3358" max="3358" width="9.42578125" style="2" customWidth="1"/>
    <col min="3359" max="3359" width="9.7109375" style="2" customWidth="1"/>
    <col min="3360" max="3360" width="10.28515625" style="2" customWidth="1"/>
    <col min="3361" max="3361" width="10" style="2" customWidth="1"/>
    <col min="3362" max="3363" width="8" style="2" customWidth="1"/>
    <col min="3364" max="3364" width="7.42578125" style="2" customWidth="1"/>
    <col min="3365" max="3365" width="7.85546875" style="2" customWidth="1"/>
    <col min="3366" max="3366" width="7.5703125" style="2" bestFit="1" customWidth="1"/>
    <col min="3367" max="3367" width="7.85546875" style="2" bestFit="1" customWidth="1"/>
    <col min="3368" max="3368" width="8.7109375" style="2" customWidth="1"/>
    <col min="3369" max="3369" width="9.42578125" style="2" customWidth="1"/>
    <col min="3370" max="3370" width="8.42578125" style="2" customWidth="1"/>
    <col min="3371" max="3371" width="8" style="2" customWidth="1"/>
    <col min="3372" max="3372" width="6.7109375" style="2" customWidth="1"/>
    <col min="3373" max="3373" width="8" style="2" customWidth="1"/>
    <col min="3374" max="3377" width="0" style="2" hidden="1" customWidth="1"/>
    <col min="3378" max="3378" width="8" style="2" customWidth="1"/>
    <col min="3379" max="3379" width="8.28515625" style="2" customWidth="1"/>
    <col min="3380" max="3380" width="8.42578125" style="2" customWidth="1"/>
    <col min="3381" max="3381" width="7.42578125" style="2" customWidth="1"/>
    <col min="3382" max="3383" width="9.140625" style="2" bestFit="1" customWidth="1"/>
    <col min="3384" max="3384" width="9.140625" style="2" customWidth="1"/>
    <col min="3385" max="3385" width="9.140625" style="2" bestFit="1" customWidth="1"/>
    <col min="3386" max="3386" width="5.7109375" style="2" customWidth="1"/>
    <col min="3387" max="3387" width="7.85546875" style="2" customWidth="1"/>
    <col min="3388" max="3388" width="6.85546875" style="2" customWidth="1"/>
    <col min="3389" max="3389" width="4" style="2" customWidth="1"/>
    <col min="3390" max="3390" width="7" style="2" customWidth="1"/>
    <col min="3391" max="3391" width="7.85546875" style="2" customWidth="1"/>
    <col min="3392" max="3392" width="6.85546875" style="2" customWidth="1"/>
    <col min="3393" max="3393" width="7.140625" style="2" customWidth="1"/>
    <col min="3394" max="3394" width="9.5703125" style="2" customWidth="1"/>
    <col min="3395" max="3395" width="9.42578125" style="2" customWidth="1"/>
    <col min="3396" max="3396" width="9" style="2" customWidth="1"/>
    <col min="3397" max="3397" width="9.85546875" style="2" customWidth="1"/>
    <col min="3398" max="3398" width="5.42578125" style="2" customWidth="1"/>
    <col min="3399" max="3567" width="9.85546875" style="2"/>
    <col min="3568" max="3568" width="27.85546875" style="2" customWidth="1"/>
    <col min="3569" max="3569" width="5.7109375" style="2" customWidth="1"/>
    <col min="3570" max="3570" width="9.85546875" style="2" customWidth="1"/>
    <col min="3571" max="3571" width="9.140625" style="2" customWidth="1"/>
    <col min="3572" max="3577" width="9.140625" style="2" bestFit="1" customWidth="1"/>
    <col min="3578" max="3578" width="7.5703125" style="2" customWidth="1"/>
    <col min="3579" max="3579" width="8.7109375" style="2" customWidth="1"/>
    <col min="3580" max="3580" width="7.7109375" style="2" customWidth="1"/>
    <col min="3581" max="3581" width="9.140625" style="2" bestFit="1" customWidth="1"/>
    <col min="3582" max="3582" width="8" style="2" customWidth="1"/>
    <col min="3583" max="3583" width="8.42578125" style="2" bestFit="1" customWidth="1"/>
    <col min="3584" max="3584" width="6.5703125" style="2" bestFit="1" customWidth="1"/>
    <col min="3585" max="3585" width="10" style="2" customWidth="1"/>
    <col min="3586" max="3586" width="9.140625" style="2" customWidth="1"/>
    <col min="3587" max="3587" width="9" style="2" customWidth="1"/>
    <col min="3588" max="3588" width="10.42578125" style="2" customWidth="1"/>
    <col min="3589" max="3589" width="8.42578125" style="2" customWidth="1"/>
    <col min="3590" max="3590" width="9.5703125" style="2" customWidth="1"/>
    <col min="3591" max="3591" width="9.42578125" style="2" customWidth="1"/>
    <col min="3592" max="3592" width="8.5703125" style="2" customWidth="1"/>
    <col min="3593" max="3593" width="9.140625" style="2" customWidth="1"/>
    <col min="3594" max="3594" width="8.140625" style="2" customWidth="1"/>
    <col min="3595" max="3595" width="8.85546875" style="2" customWidth="1"/>
    <col min="3596" max="3596" width="8.140625" style="2" customWidth="1"/>
    <col min="3597" max="3597" width="8.85546875" style="2" customWidth="1"/>
    <col min="3598" max="3599" width="9.28515625" style="2" customWidth="1"/>
    <col min="3600" max="3600" width="8.42578125" style="2" customWidth="1"/>
    <col min="3601" max="3601" width="8.140625" style="2" customWidth="1"/>
    <col min="3602" max="3602" width="6" style="2" bestFit="1" customWidth="1"/>
    <col min="3603" max="3603" width="7.85546875" style="2" bestFit="1" customWidth="1"/>
    <col min="3604" max="3604" width="5.85546875" style="2" bestFit="1" customWidth="1"/>
    <col min="3605" max="3605" width="6.85546875" style="2" bestFit="1" customWidth="1"/>
    <col min="3606" max="3606" width="6" style="2" bestFit="1" customWidth="1"/>
    <col min="3607" max="3607" width="7.85546875" style="2" bestFit="1" customWidth="1"/>
    <col min="3608" max="3608" width="8.5703125" style="2" customWidth="1"/>
    <col min="3609" max="3609" width="6.85546875" style="2" bestFit="1" customWidth="1"/>
    <col min="3610" max="3610" width="7.5703125" style="2" customWidth="1"/>
    <col min="3611" max="3611" width="8.42578125" style="2" customWidth="1"/>
    <col min="3612" max="3612" width="8" style="2" customWidth="1"/>
    <col min="3613" max="3613" width="8.7109375" style="2" customWidth="1"/>
    <col min="3614" max="3614" width="9.42578125" style="2" customWidth="1"/>
    <col min="3615" max="3615" width="9.7109375" style="2" customWidth="1"/>
    <col min="3616" max="3616" width="10.28515625" style="2" customWidth="1"/>
    <col min="3617" max="3617" width="10" style="2" customWidth="1"/>
    <col min="3618" max="3619" width="8" style="2" customWidth="1"/>
    <col min="3620" max="3620" width="7.42578125" style="2" customWidth="1"/>
    <col min="3621" max="3621" width="7.85546875" style="2" customWidth="1"/>
    <col min="3622" max="3622" width="7.5703125" style="2" bestFit="1" customWidth="1"/>
    <col min="3623" max="3623" width="7.85546875" style="2" bestFit="1" customWidth="1"/>
    <col min="3624" max="3624" width="8.7109375" style="2" customWidth="1"/>
    <col min="3625" max="3625" width="9.42578125" style="2" customWidth="1"/>
    <col min="3626" max="3626" width="8.42578125" style="2" customWidth="1"/>
    <col min="3627" max="3627" width="8" style="2" customWidth="1"/>
    <col min="3628" max="3628" width="6.7109375" style="2" customWidth="1"/>
    <col min="3629" max="3629" width="8" style="2" customWidth="1"/>
    <col min="3630" max="3633" width="0" style="2" hidden="1" customWidth="1"/>
    <col min="3634" max="3634" width="8" style="2" customWidth="1"/>
    <col min="3635" max="3635" width="8.28515625" style="2" customWidth="1"/>
    <col min="3636" max="3636" width="8.42578125" style="2" customWidth="1"/>
    <col min="3637" max="3637" width="7.42578125" style="2" customWidth="1"/>
    <col min="3638" max="3639" width="9.140625" style="2" bestFit="1" customWidth="1"/>
    <col min="3640" max="3640" width="9.140625" style="2" customWidth="1"/>
    <col min="3641" max="3641" width="9.140625" style="2" bestFit="1" customWidth="1"/>
    <col min="3642" max="3642" width="5.7109375" style="2" customWidth="1"/>
    <col min="3643" max="3643" width="7.85546875" style="2" customWidth="1"/>
    <col min="3644" max="3644" width="6.85546875" style="2" customWidth="1"/>
    <col min="3645" max="3645" width="4" style="2" customWidth="1"/>
    <col min="3646" max="3646" width="7" style="2" customWidth="1"/>
    <col min="3647" max="3647" width="7.85546875" style="2" customWidth="1"/>
    <col min="3648" max="3648" width="6.85546875" style="2" customWidth="1"/>
    <col min="3649" max="3649" width="7.140625" style="2" customWidth="1"/>
    <col min="3650" max="3650" width="9.5703125" style="2" customWidth="1"/>
    <col min="3651" max="3651" width="9.42578125" style="2" customWidth="1"/>
    <col min="3652" max="3652" width="9" style="2" customWidth="1"/>
    <col min="3653" max="3653" width="9.85546875" style="2" customWidth="1"/>
    <col min="3654" max="3654" width="5.42578125" style="2" customWidth="1"/>
    <col min="3655" max="3823" width="9.85546875" style="2"/>
    <col min="3824" max="3824" width="27.85546875" style="2" customWidth="1"/>
    <col min="3825" max="3825" width="5.7109375" style="2" customWidth="1"/>
    <col min="3826" max="3826" width="9.85546875" style="2" customWidth="1"/>
    <col min="3827" max="3827" width="9.140625" style="2" customWidth="1"/>
    <col min="3828" max="3833" width="9.140625" style="2" bestFit="1" customWidth="1"/>
    <col min="3834" max="3834" width="7.5703125" style="2" customWidth="1"/>
    <col min="3835" max="3835" width="8.7109375" style="2" customWidth="1"/>
    <col min="3836" max="3836" width="7.7109375" style="2" customWidth="1"/>
    <col min="3837" max="3837" width="9.140625" style="2" bestFit="1" customWidth="1"/>
    <col min="3838" max="3838" width="8" style="2" customWidth="1"/>
    <col min="3839" max="3839" width="8.42578125" style="2" bestFit="1" customWidth="1"/>
    <col min="3840" max="3840" width="6.5703125" style="2" bestFit="1" customWidth="1"/>
    <col min="3841" max="3841" width="10" style="2" customWidth="1"/>
    <col min="3842" max="3842" width="9.140625" style="2" customWidth="1"/>
    <col min="3843" max="3843" width="9" style="2" customWidth="1"/>
    <col min="3844" max="3844" width="10.42578125" style="2" customWidth="1"/>
    <col min="3845" max="3845" width="8.42578125" style="2" customWidth="1"/>
    <col min="3846" max="3846" width="9.5703125" style="2" customWidth="1"/>
    <col min="3847" max="3847" width="9.42578125" style="2" customWidth="1"/>
    <col min="3848" max="3848" width="8.5703125" style="2" customWidth="1"/>
    <col min="3849" max="3849" width="9.140625" style="2" customWidth="1"/>
    <col min="3850" max="3850" width="8.140625" style="2" customWidth="1"/>
    <col min="3851" max="3851" width="8.85546875" style="2" customWidth="1"/>
    <col min="3852" max="3852" width="8.140625" style="2" customWidth="1"/>
    <col min="3853" max="3853" width="8.85546875" style="2" customWidth="1"/>
    <col min="3854" max="3855" width="9.28515625" style="2" customWidth="1"/>
    <col min="3856" max="3856" width="8.42578125" style="2" customWidth="1"/>
    <col min="3857" max="3857" width="8.140625" style="2" customWidth="1"/>
    <col min="3858" max="3858" width="6" style="2" bestFit="1" customWidth="1"/>
    <col min="3859" max="3859" width="7.85546875" style="2" bestFit="1" customWidth="1"/>
    <col min="3860" max="3860" width="5.85546875" style="2" bestFit="1" customWidth="1"/>
    <col min="3861" max="3861" width="6.85546875" style="2" bestFit="1" customWidth="1"/>
    <col min="3862" max="3862" width="6" style="2" bestFit="1" customWidth="1"/>
    <col min="3863" max="3863" width="7.85546875" style="2" bestFit="1" customWidth="1"/>
    <col min="3864" max="3864" width="8.5703125" style="2" customWidth="1"/>
    <col min="3865" max="3865" width="6.85546875" style="2" bestFit="1" customWidth="1"/>
    <col min="3866" max="3866" width="7.5703125" style="2" customWidth="1"/>
    <col min="3867" max="3867" width="8.42578125" style="2" customWidth="1"/>
    <col min="3868" max="3868" width="8" style="2" customWidth="1"/>
    <col min="3869" max="3869" width="8.7109375" style="2" customWidth="1"/>
    <col min="3870" max="3870" width="9.42578125" style="2" customWidth="1"/>
    <col min="3871" max="3871" width="9.7109375" style="2" customWidth="1"/>
    <col min="3872" max="3872" width="10.28515625" style="2" customWidth="1"/>
    <col min="3873" max="3873" width="10" style="2" customWidth="1"/>
    <col min="3874" max="3875" width="8" style="2" customWidth="1"/>
    <col min="3876" max="3876" width="7.42578125" style="2" customWidth="1"/>
    <col min="3877" max="3877" width="7.85546875" style="2" customWidth="1"/>
    <col min="3878" max="3878" width="7.5703125" style="2" bestFit="1" customWidth="1"/>
    <col min="3879" max="3879" width="7.85546875" style="2" bestFit="1" customWidth="1"/>
    <col min="3880" max="3880" width="8.7109375" style="2" customWidth="1"/>
    <col min="3881" max="3881" width="9.42578125" style="2" customWidth="1"/>
    <col min="3882" max="3882" width="8.42578125" style="2" customWidth="1"/>
    <col min="3883" max="3883" width="8" style="2" customWidth="1"/>
    <col min="3884" max="3884" width="6.7109375" style="2" customWidth="1"/>
    <col min="3885" max="3885" width="8" style="2" customWidth="1"/>
    <col min="3886" max="3889" width="0" style="2" hidden="1" customWidth="1"/>
    <col min="3890" max="3890" width="8" style="2" customWidth="1"/>
    <col min="3891" max="3891" width="8.28515625" style="2" customWidth="1"/>
    <col min="3892" max="3892" width="8.42578125" style="2" customWidth="1"/>
    <col min="3893" max="3893" width="7.42578125" style="2" customWidth="1"/>
    <col min="3894" max="3895" width="9.140625" style="2" bestFit="1" customWidth="1"/>
    <col min="3896" max="3896" width="9.140625" style="2" customWidth="1"/>
    <col min="3897" max="3897" width="9.140625" style="2" bestFit="1" customWidth="1"/>
    <col min="3898" max="3898" width="5.7109375" style="2" customWidth="1"/>
    <col min="3899" max="3899" width="7.85546875" style="2" customWidth="1"/>
    <col min="3900" max="3900" width="6.85546875" style="2" customWidth="1"/>
    <col min="3901" max="3901" width="4" style="2" customWidth="1"/>
    <col min="3902" max="3902" width="7" style="2" customWidth="1"/>
    <col min="3903" max="3903" width="7.85546875" style="2" customWidth="1"/>
    <col min="3904" max="3904" width="6.85546875" style="2" customWidth="1"/>
    <col min="3905" max="3905" width="7.140625" style="2" customWidth="1"/>
    <col min="3906" max="3906" width="9.5703125" style="2" customWidth="1"/>
    <col min="3907" max="3907" width="9.42578125" style="2" customWidth="1"/>
    <col min="3908" max="3908" width="9" style="2" customWidth="1"/>
    <col min="3909" max="3909" width="9.85546875" style="2" customWidth="1"/>
    <col min="3910" max="3910" width="5.42578125" style="2" customWidth="1"/>
    <col min="3911" max="4079" width="9.85546875" style="2"/>
    <col min="4080" max="4080" width="27.85546875" style="2" customWidth="1"/>
    <col min="4081" max="4081" width="5.7109375" style="2" customWidth="1"/>
    <col min="4082" max="4082" width="9.85546875" style="2" customWidth="1"/>
    <col min="4083" max="4083" width="9.140625" style="2" customWidth="1"/>
    <col min="4084" max="4089" width="9.140625" style="2" bestFit="1" customWidth="1"/>
    <col min="4090" max="4090" width="7.5703125" style="2" customWidth="1"/>
    <col min="4091" max="4091" width="8.7109375" style="2" customWidth="1"/>
    <col min="4092" max="4092" width="7.7109375" style="2" customWidth="1"/>
    <col min="4093" max="4093" width="9.140625" style="2" bestFit="1" customWidth="1"/>
    <col min="4094" max="4094" width="8" style="2" customWidth="1"/>
    <col min="4095" max="4095" width="8.42578125" style="2" bestFit="1" customWidth="1"/>
    <col min="4096" max="4096" width="6.5703125" style="2" bestFit="1" customWidth="1"/>
    <col min="4097" max="4097" width="10" style="2" customWidth="1"/>
    <col min="4098" max="4098" width="9.140625" style="2" customWidth="1"/>
    <col min="4099" max="4099" width="9" style="2" customWidth="1"/>
    <col min="4100" max="4100" width="10.42578125" style="2" customWidth="1"/>
    <col min="4101" max="4101" width="8.42578125" style="2" customWidth="1"/>
    <col min="4102" max="4102" width="9.5703125" style="2" customWidth="1"/>
    <col min="4103" max="4103" width="9.42578125" style="2" customWidth="1"/>
    <col min="4104" max="4104" width="8.5703125" style="2" customWidth="1"/>
    <col min="4105" max="4105" width="9.140625" style="2" customWidth="1"/>
    <col min="4106" max="4106" width="8.140625" style="2" customWidth="1"/>
    <col min="4107" max="4107" width="8.85546875" style="2" customWidth="1"/>
    <col min="4108" max="4108" width="8.140625" style="2" customWidth="1"/>
    <col min="4109" max="4109" width="8.85546875" style="2" customWidth="1"/>
    <col min="4110" max="4111" width="9.28515625" style="2" customWidth="1"/>
    <col min="4112" max="4112" width="8.42578125" style="2" customWidth="1"/>
    <col min="4113" max="4113" width="8.140625" style="2" customWidth="1"/>
    <col min="4114" max="4114" width="6" style="2" bestFit="1" customWidth="1"/>
    <col min="4115" max="4115" width="7.85546875" style="2" bestFit="1" customWidth="1"/>
    <col min="4116" max="4116" width="5.85546875" style="2" bestFit="1" customWidth="1"/>
    <col min="4117" max="4117" width="6.85546875" style="2" bestFit="1" customWidth="1"/>
    <col min="4118" max="4118" width="6" style="2" bestFit="1" customWidth="1"/>
    <col min="4119" max="4119" width="7.85546875" style="2" bestFit="1" customWidth="1"/>
    <col min="4120" max="4120" width="8.5703125" style="2" customWidth="1"/>
    <col min="4121" max="4121" width="6.85546875" style="2" bestFit="1" customWidth="1"/>
    <col min="4122" max="4122" width="7.5703125" style="2" customWidth="1"/>
    <col min="4123" max="4123" width="8.42578125" style="2" customWidth="1"/>
    <col min="4124" max="4124" width="8" style="2" customWidth="1"/>
    <col min="4125" max="4125" width="8.7109375" style="2" customWidth="1"/>
    <col min="4126" max="4126" width="9.42578125" style="2" customWidth="1"/>
    <col min="4127" max="4127" width="9.7109375" style="2" customWidth="1"/>
    <col min="4128" max="4128" width="10.28515625" style="2" customWidth="1"/>
    <col min="4129" max="4129" width="10" style="2" customWidth="1"/>
    <col min="4130" max="4131" width="8" style="2" customWidth="1"/>
    <col min="4132" max="4132" width="7.42578125" style="2" customWidth="1"/>
    <col min="4133" max="4133" width="7.85546875" style="2" customWidth="1"/>
    <col min="4134" max="4134" width="7.5703125" style="2" bestFit="1" customWidth="1"/>
    <col min="4135" max="4135" width="7.85546875" style="2" bestFit="1" customWidth="1"/>
    <col min="4136" max="4136" width="8.7109375" style="2" customWidth="1"/>
    <col min="4137" max="4137" width="9.42578125" style="2" customWidth="1"/>
    <col min="4138" max="4138" width="8.42578125" style="2" customWidth="1"/>
    <col min="4139" max="4139" width="8" style="2" customWidth="1"/>
    <col min="4140" max="4140" width="6.7109375" style="2" customWidth="1"/>
    <col min="4141" max="4141" width="8" style="2" customWidth="1"/>
    <col min="4142" max="4145" width="0" style="2" hidden="1" customWidth="1"/>
    <col min="4146" max="4146" width="8" style="2" customWidth="1"/>
    <col min="4147" max="4147" width="8.28515625" style="2" customWidth="1"/>
    <col min="4148" max="4148" width="8.42578125" style="2" customWidth="1"/>
    <col min="4149" max="4149" width="7.42578125" style="2" customWidth="1"/>
    <col min="4150" max="4151" width="9.140625" style="2" bestFit="1" customWidth="1"/>
    <col min="4152" max="4152" width="9.140625" style="2" customWidth="1"/>
    <col min="4153" max="4153" width="9.140625" style="2" bestFit="1" customWidth="1"/>
    <col min="4154" max="4154" width="5.7109375" style="2" customWidth="1"/>
    <col min="4155" max="4155" width="7.85546875" style="2" customWidth="1"/>
    <col min="4156" max="4156" width="6.85546875" style="2" customWidth="1"/>
    <col min="4157" max="4157" width="4" style="2" customWidth="1"/>
    <col min="4158" max="4158" width="7" style="2" customWidth="1"/>
    <col min="4159" max="4159" width="7.85546875" style="2" customWidth="1"/>
    <col min="4160" max="4160" width="6.85546875" style="2" customWidth="1"/>
    <col min="4161" max="4161" width="7.140625" style="2" customWidth="1"/>
    <col min="4162" max="4162" width="9.5703125" style="2" customWidth="1"/>
    <col min="4163" max="4163" width="9.42578125" style="2" customWidth="1"/>
    <col min="4164" max="4164" width="9" style="2" customWidth="1"/>
    <col min="4165" max="4165" width="9.85546875" style="2" customWidth="1"/>
    <col min="4166" max="4166" width="5.42578125" style="2" customWidth="1"/>
    <col min="4167" max="4335" width="9.85546875" style="2"/>
    <col min="4336" max="4336" width="27.85546875" style="2" customWidth="1"/>
    <col min="4337" max="4337" width="5.7109375" style="2" customWidth="1"/>
    <col min="4338" max="4338" width="9.85546875" style="2" customWidth="1"/>
    <col min="4339" max="4339" width="9.140625" style="2" customWidth="1"/>
    <col min="4340" max="4345" width="9.140625" style="2" bestFit="1" customWidth="1"/>
    <col min="4346" max="4346" width="7.5703125" style="2" customWidth="1"/>
    <col min="4347" max="4347" width="8.7109375" style="2" customWidth="1"/>
    <col min="4348" max="4348" width="7.7109375" style="2" customWidth="1"/>
    <col min="4349" max="4349" width="9.140625" style="2" bestFit="1" customWidth="1"/>
    <col min="4350" max="4350" width="8" style="2" customWidth="1"/>
    <col min="4351" max="4351" width="8.42578125" style="2" bestFit="1" customWidth="1"/>
    <col min="4352" max="4352" width="6.5703125" style="2" bestFit="1" customWidth="1"/>
    <col min="4353" max="4353" width="10" style="2" customWidth="1"/>
    <col min="4354" max="4354" width="9.140625" style="2" customWidth="1"/>
    <col min="4355" max="4355" width="9" style="2" customWidth="1"/>
    <col min="4356" max="4356" width="10.42578125" style="2" customWidth="1"/>
    <col min="4357" max="4357" width="8.42578125" style="2" customWidth="1"/>
    <col min="4358" max="4358" width="9.5703125" style="2" customWidth="1"/>
    <col min="4359" max="4359" width="9.42578125" style="2" customWidth="1"/>
    <col min="4360" max="4360" width="8.5703125" style="2" customWidth="1"/>
    <col min="4361" max="4361" width="9.140625" style="2" customWidth="1"/>
    <col min="4362" max="4362" width="8.140625" style="2" customWidth="1"/>
    <col min="4363" max="4363" width="8.85546875" style="2" customWidth="1"/>
    <col min="4364" max="4364" width="8.140625" style="2" customWidth="1"/>
    <col min="4365" max="4365" width="8.85546875" style="2" customWidth="1"/>
    <col min="4366" max="4367" width="9.28515625" style="2" customWidth="1"/>
    <col min="4368" max="4368" width="8.42578125" style="2" customWidth="1"/>
    <col min="4369" max="4369" width="8.140625" style="2" customWidth="1"/>
    <col min="4370" max="4370" width="6" style="2" bestFit="1" customWidth="1"/>
    <col min="4371" max="4371" width="7.85546875" style="2" bestFit="1" customWidth="1"/>
    <col min="4372" max="4372" width="5.85546875" style="2" bestFit="1" customWidth="1"/>
    <col min="4373" max="4373" width="6.85546875" style="2" bestFit="1" customWidth="1"/>
    <col min="4374" max="4374" width="6" style="2" bestFit="1" customWidth="1"/>
    <col min="4375" max="4375" width="7.85546875" style="2" bestFit="1" customWidth="1"/>
    <col min="4376" max="4376" width="8.5703125" style="2" customWidth="1"/>
    <col min="4377" max="4377" width="6.85546875" style="2" bestFit="1" customWidth="1"/>
    <col min="4378" max="4378" width="7.5703125" style="2" customWidth="1"/>
    <col min="4379" max="4379" width="8.42578125" style="2" customWidth="1"/>
    <col min="4380" max="4380" width="8" style="2" customWidth="1"/>
    <col min="4381" max="4381" width="8.7109375" style="2" customWidth="1"/>
    <col min="4382" max="4382" width="9.42578125" style="2" customWidth="1"/>
    <col min="4383" max="4383" width="9.7109375" style="2" customWidth="1"/>
    <col min="4384" max="4384" width="10.28515625" style="2" customWidth="1"/>
    <col min="4385" max="4385" width="10" style="2" customWidth="1"/>
    <col min="4386" max="4387" width="8" style="2" customWidth="1"/>
    <col min="4388" max="4388" width="7.42578125" style="2" customWidth="1"/>
    <col min="4389" max="4389" width="7.85546875" style="2" customWidth="1"/>
    <col min="4390" max="4390" width="7.5703125" style="2" bestFit="1" customWidth="1"/>
    <col min="4391" max="4391" width="7.85546875" style="2" bestFit="1" customWidth="1"/>
    <col min="4392" max="4392" width="8.7109375" style="2" customWidth="1"/>
    <col min="4393" max="4393" width="9.42578125" style="2" customWidth="1"/>
    <col min="4394" max="4394" width="8.42578125" style="2" customWidth="1"/>
    <col min="4395" max="4395" width="8" style="2" customWidth="1"/>
    <col min="4396" max="4396" width="6.7109375" style="2" customWidth="1"/>
    <col min="4397" max="4397" width="8" style="2" customWidth="1"/>
    <col min="4398" max="4401" width="0" style="2" hidden="1" customWidth="1"/>
    <col min="4402" max="4402" width="8" style="2" customWidth="1"/>
    <col min="4403" max="4403" width="8.28515625" style="2" customWidth="1"/>
    <col min="4404" max="4404" width="8.42578125" style="2" customWidth="1"/>
    <col min="4405" max="4405" width="7.42578125" style="2" customWidth="1"/>
    <col min="4406" max="4407" width="9.140625" style="2" bestFit="1" customWidth="1"/>
    <col min="4408" max="4408" width="9.140625" style="2" customWidth="1"/>
    <col min="4409" max="4409" width="9.140625" style="2" bestFit="1" customWidth="1"/>
    <col min="4410" max="4410" width="5.7109375" style="2" customWidth="1"/>
    <col min="4411" max="4411" width="7.85546875" style="2" customWidth="1"/>
    <col min="4412" max="4412" width="6.85546875" style="2" customWidth="1"/>
    <col min="4413" max="4413" width="4" style="2" customWidth="1"/>
    <col min="4414" max="4414" width="7" style="2" customWidth="1"/>
    <col min="4415" max="4415" width="7.85546875" style="2" customWidth="1"/>
    <col min="4416" max="4416" width="6.85546875" style="2" customWidth="1"/>
    <col min="4417" max="4417" width="7.140625" style="2" customWidth="1"/>
    <col min="4418" max="4418" width="9.5703125" style="2" customWidth="1"/>
    <col min="4419" max="4419" width="9.42578125" style="2" customWidth="1"/>
    <col min="4420" max="4420" width="9" style="2" customWidth="1"/>
    <col min="4421" max="4421" width="9.85546875" style="2" customWidth="1"/>
    <col min="4422" max="4422" width="5.42578125" style="2" customWidth="1"/>
    <col min="4423" max="4591" width="9.85546875" style="2"/>
    <col min="4592" max="4592" width="27.85546875" style="2" customWidth="1"/>
    <col min="4593" max="4593" width="5.7109375" style="2" customWidth="1"/>
    <col min="4594" max="4594" width="9.85546875" style="2" customWidth="1"/>
    <col min="4595" max="4595" width="9.140625" style="2" customWidth="1"/>
    <col min="4596" max="4601" width="9.140625" style="2" bestFit="1" customWidth="1"/>
    <col min="4602" max="4602" width="7.5703125" style="2" customWidth="1"/>
    <col min="4603" max="4603" width="8.7109375" style="2" customWidth="1"/>
    <col min="4604" max="4604" width="7.7109375" style="2" customWidth="1"/>
    <col min="4605" max="4605" width="9.140625" style="2" bestFit="1" customWidth="1"/>
    <col min="4606" max="4606" width="8" style="2" customWidth="1"/>
    <col min="4607" max="4607" width="8.42578125" style="2" bestFit="1" customWidth="1"/>
    <col min="4608" max="4608" width="6.5703125" style="2" bestFit="1" customWidth="1"/>
    <col min="4609" max="4609" width="10" style="2" customWidth="1"/>
    <col min="4610" max="4610" width="9.140625" style="2" customWidth="1"/>
    <col min="4611" max="4611" width="9" style="2" customWidth="1"/>
    <col min="4612" max="4612" width="10.42578125" style="2" customWidth="1"/>
    <col min="4613" max="4613" width="8.42578125" style="2" customWidth="1"/>
    <col min="4614" max="4614" width="9.5703125" style="2" customWidth="1"/>
    <col min="4615" max="4615" width="9.42578125" style="2" customWidth="1"/>
    <col min="4616" max="4616" width="8.5703125" style="2" customWidth="1"/>
    <col min="4617" max="4617" width="9.140625" style="2" customWidth="1"/>
    <col min="4618" max="4618" width="8.140625" style="2" customWidth="1"/>
    <col min="4619" max="4619" width="8.85546875" style="2" customWidth="1"/>
    <col min="4620" max="4620" width="8.140625" style="2" customWidth="1"/>
    <col min="4621" max="4621" width="8.85546875" style="2" customWidth="1"/>
    <col min="4622" max="4623" width="9.28515625" style="2" customWidth="1"/>
    <col min="4624" max="4624" width="8.42578125" style="2" customWidth="1"/>
    <col min="4625" max="4625" width="8.140625" style="2" customWidth="1"/>
    <col min="4626" max="4626" width="6" style="2" bestFit="1" customWidth="1"/>
    <col min="4627" max="4627" width="7.85546875" style="2" bestFit="1" customWidth="1"/>
    <col min="4628" max="4628" width="5.85546875" style="2" bestFit="1" customWidth="1"/>
    <col min="4629" max="4629" width="6.85546875" style="2" bestFit="1" customWidth="1"/>
    <col min="4630" max="4630" width="6" style="2" bestFit="1" customWidth="1"/>
    <col min="4631" max="4631" width="7.85546875" style="2" bestFit="1" customWidth="1"/>
    <col min="4632" max="4632" width="8.5703125" style="2" customWidth="1"/>
    <col min="4633" max="4633" width="6.85546875" style="2" bestFit="1" customWidth="1"/>
    <col min="4634" max="4634" width="7.5703125" style="2" customWidth="1"/>
    <col min="4635" max="4635" width="8.42578125" style="2" customWidth="1"/>
    <col min="4636" max="4636" width="8" style="2" customWidth="1"/>
    <col min="4637" max="4637" width="8.7109375" style="2" customWidth="1"/>
    <col min="4638" max="4638" width="9.42578125" style="2" customWidth="1"/>
    <col min="4639" max="4639" width="9.7109375" style="2" customWidth="1"/>
    <col min="4640" max="4640" width="10.28515625" style="2" customWidth="1"/>
    <col min="4641" max="4641" width="10" style="2" customWidth="1"/>
    <col min="4642" max="4643" width="8" style="2" customWidth="1"/>
    <col min="4644" max="4644" width="7.42578125" style="2" customWidth="1"/>
    <col min="4645" max="4645" width="7.85546875" style="2" customWidth="1"/>
    <col min="4646" max="4646" width="7.5703125" style="2" bestFit="1" customWidth="1"/>
    <col min="4647" max="4647" width="7.85546875" style="2" bestFit="1" customWidth="1"/>
    <col min="4648" max="4648" width="8.7109375" style="2" customWidth="1"/>
    <col min="4649" max="4649" width="9.42578125" style="2" customWidth="1"/>
    <col min="4650" max="4650" width="8.42578125" style="2" customWidth="1"/>
    <col min="4651" max="4651" width="8" style="2" customWidth="1"/>
    <col min="4652" max="4652" width="6.7109375" style="2" customWidth="1"/>
    <col min="4653" max="4653" width="8" style="2" customWidth="1"/>
    <col min="4654" max="4657" width="0" style="2" hidden="1" customWidth="1"/>
    <col min="4658" max="4658" width="8" style="2" customWidth="1"/>
    <col min="4659" max="4659" width="8.28515625" style="2" customWidth="1"/>
    <col min="4660" max="4660" width="8.42578125" style="2" customWidth="1"/>
    <col min="4661" max="4661" width="7.42578125" style="2" customWidth="1"/>
    <col min="4662" max="4663" width="9.140625" style="2" bestFit="1" customWidth="1"/>
    <col min="4664" max="4664" width="9.140625" style="2" customWidth="1"/>
    <col min="4665" max="4665" width="9.140625" style="2" bestFit="1" customWidth="1"/>
    <col min="4666" max="4666" width="5.7109375" style="2" customWidth="1"/>
    <col min="4667" max="4667" width="7.85546875" style="2" customWidth="1"/>
    <col min="4668" max="4668" width="6.85546875" style="2" customWidth="1"/>
    <col min="4669" max="4669" width="4" style="2" customWidth="1"/>
    <col min="4670" max="4670" width="7" style="2" customWidth="1"/>
    <col min="4671" max="4671" width="7.85546875" style="2" customWidth="1"/>
    <col min="4672" max="4672" width="6.85546875" style="2" customWidth="1"/>
    <col min="4673" max="4673" width="7.140625" style="2" customWidth="1"/>
    <col min="4674" max="4674" width="9.5703125" style="2" customWidth="1"/>
    <col min="4675" max="4675" width="9.42578125" style="2" customWidth="1"/>
    <col min="4676" max="4676" width="9" style="2" customWidth="1"/>
    <col min="4677" max="4677" width="9.85546875" style="2" customWidth="1"/>
    <col min="4678" max="4678" width="5.42578125" style="2" customWidth="1"/>
    <col min="4679" max="4847" width="9.85546875" style="2"/>
    <col min="4848" max="4848" width="27.85546875" style="2" customWidth="1"/>
    <col min="4849" max="4849" width="5.7109375" style="2" customWidth="1"/>
    <col min="4850" max="4850" width="9.85546875" style="2" customWidth="1"/>
    <col min="4851" max="4851" width="9.140625" style="2" customWidth="1"/>
    <col min="4852" max="4857" width="9.140625" style="2" bestFit="1" customWidth="1"/>
    <col min="4858" max="4858" width="7.5703125" style="2" customWidth="1"/>
    <col min="4859" max="4859" width="8.7109375" style="2" customWidth="1"/>
    <col min="4860" max="4860" width="7.7109375" style="2" customWidth="1"/>
    <col min="4861" max="4861" width="9.140625" style="2" bestFit="1" customWidth="1"/>
    <col min="4862" max="4862" width="8" style="2" customWidth="1"/>
    <col min="4863" max="4863" width="8.42578125" style="2" bestFit="1" customWidth="1"/>
    <col min="4864" max="4864" width="6.5703125" style="2" bestFit="1" customWidth="1"/>
    <col min="4865" max="4865" width="10" style="2" customWidth="1"/>
    <col min="4866" max="4866" width="9.140625" style="2" customWidth="1"/>
    <col min="4867" max="4867" width="9" style="2" customWidth="1"/>
    <col min="4868" max="4868" width="10.42578125" style="2" customWidth="1"/>
    <col min="4869" max="4869" width="8.42578125" style="2" customWidth="1"/>
    <col min="4870" max="4870" width="9.5703125" style="2" customWidth="1"/>
    <col min="4871" max="4871" width="9.42578125" style="2" customWidth="1"/>
    <col min="4872" max="4872" width="8.5703125" style="2" customWidth="1"/>
    <col min="4873" max="4873" width="9.140625" style="2" customWidth="1"/>
    <col min="4874" max="4874" width="8.140625" style="2" customWidth="1"/>
    <col min="4875" max="4875" width="8.85546875" style="2" customWidth="1"/>
    <col min="4876" max="4876" width="8.140625" style="2" customWidth="1"/>
    <col min="4877" max="4877" width="8.85546875" style="2" customWidth="1"/>
    <col min="4878" max="4879" width="9.28515625" style="2" customWidth="1"/>
    <col min="4880" max="4880" width="8.42578125" style="2" customWidth="1"/>
    <col min="4881" max="4881" width="8.140625" style="2" customWidth="1"/>
    <col min="4882" max="4882" width="6" style="2" bestFit="1" customWidth="1"/>
    <col min="4883" max="4883" width="7.85546875" style="2" bestFit="1" customWidth="1"/>
    <col min="4884" max="4884" width="5.85546875" style="2" bestFit="1" customWidth="1"/>
    <col min="4885" max="4885" width="6.85546875" style="2" bestFit="1" customWidth="1"/>
    <col min="4886" max="4886" width="6" style="2" bestFit="1" customWidth="1"/>
    <col min="4887" max="4887" width="7.85546875" style="2" bestFit="1" customWidth="1"/>
    <col min="4888" max="4888" width="8.5703125" style="2" customWidth="1"/>
    <col min="4889" max="4889" width="6.85546875" style="2" bestFit="1" customWidth="1"/>
    <col min="4890" max="4890" width="7.5703125" style="2" customWidth="1"/>
    <col min="4891" max="4891" width="8.42578125" style="2" customWidth="1"/>
    <col min="4892" max="4892" width="8" style="2" customWidth="1"/>
    <col min="4893" max="4893" width="8.7109375" style="2" customWidth="1"/>
    <col min="4894" max="4894" width="9.42578125" style="2" customWidth="1"/>
    <col min="4895" max="4895" width="9.7109375" style="2" customWidth="1"/>
    <col min="4896" max="4896" width="10.28515625" style="2" customWidth="1"/>
    <col min="4897" max="4897" width="10" style="2" customWidth="1"/>
    <col min="4898" max="4899" width="8" style="2" customWidth="1"/>
    <col min="4900" max="4900" width="7.42578125" style="2" customWidth="1"/>
    <col min="4901" max="4901" width="7.85546875" style="2" customWidth="1"/>
    <col min="4902" max="4902" width="7.5703125" style="2" bestFit="1" customWidth="1"/>
    <col min="4903" max="4903" width="7.85546875" style="2" bestFit="1" customWidth="1"/>
    <col min="4904" max="4904" width="8.7109375" style="2" customWidth="1"/>
    <col min="4905" max="4905" width="9.42578125" style="2" customWidth="1"/>
    <col min="4906" max="4906" width="8.42578125" style="2" customWidth="1"/>
    <col min="4907" max="4907" width="8" style="2" customWidth="1"/>
    <col min="4908" max="4908" width="6.7109375" style="2" customWidth="1"/>
    <col min="4909" max="4909" width="8" style="2" customWidth="1"/>
    <col min="4910" max="4913" width="0" style="2" hidden="1" customWidth="1"/>
    <col min="4914" max="4914" width="8" style="2" customWidth="1"/>
    <col min="4915" max="4915" width="8.28515625" style="2" customWidth="1"/>
    <col min="4916" max="4916" width="8.42578125" style="2" customWidth="1"/>
    <col min="4917" max="4917" width="7.42578125" style="2" customWidth="1"/>
    <col min="4918" max="4919" width="9.140625" style="2" bestFit="1" customWidth="1"/>
    <col min="4920" max="4920" width="9.140625" style="2" customWidth="1"/>
    <col min="4921" max="4921" width="9.140625" style="2" bestFit="1" customWidth="1"/>
    <col min="4922" max="4922" width="5.7109375" style="2" customWidth="1"/>
    <col min="4923" max="4923" width="7.85546875" style="2" customWidth="1"/>
    <col min="4924" max="4924" width="6.85546875" style="2" customWidth="1"/>
    <col min="4925" max="4925" width="4" style="2" customWidth="1"/>
    <col min="4926" max="4926" width="7" style="2" customWidth="1"/>
    <col min="4927" max="4927" width="7.85546875" style="2" customWidth="1"/>
    <col min="4928" max="4928" width="6.85546875" style="2" customWidth="1"/>
    <col min="4929" max="4929" width="7.140625" style="2" customWidth="1"/>
    <col min="4930" max="4930" width="9.5703125" style="2" customWidth="1"/>
    <col min="4931" max="4931" width="9.42578125" style="2" customWidth="1"/>
    <col min="4932" max="4932" width="9" style="2" customWidth="1"/>
    <col min="4933" max="4933" width="9.85546875" style="2" customWidth="1"/>
    <col min="4934" max="4934" width="5.42578125" style="2" customWidth="1"/>
    <col min="4935" max="5103" width="9.85546875" style="2"/>
    <col min="5104" max="5104" width="27.85546875" style="2" customWidth="1"/>
    <col min="5105" max="5105" width="5.7109375" style="2" customWidth="1"/>
    <col min="5106" max="5106" width="9.85546875" style="2" customWidth="1"/>
    <col min="5107" max="5107" width="9.140625" style="2" customWidth="1"/>
    <col min="5108" max="5113" width="9.140625" style="2" bestFit="1" customWidth="1"/>
    <col min="5114" max="5114" width="7.5703125" style="2" customWidth="1"/>
    <col min="5115" max="5115" width="8.7109375" style="2" customWidth="1"/>
    <col min="5116" max="5116" width="7.7109375" style="2" customWidth="1"/>
    <col min="5117" max="5117" width="9.140625" style="2" bestFit="1" customWidth="1"/>
    <col min="5118" max="5118" width="8" style="2" customWidth="1"/>
    <col min="5119" max="5119" width="8.42578125" style="2" bestFit="1" customWidth="1"/>
    <col min="5120" max="5120" width="6.5703125" style="2" bestFit="1" customWidth="1"/>
    <col min="5121" max="5121" width="10" style="2" customWidth="1"/>
    <col min="5122" max="5122" width="9.140625" style="2" customWidth="1"/>
    <col min="5123" max="5123" width="9" style="2" customWidth="1"/>
    <col min="5124" max="5124" width="10.42578125" style="2" customWidth="1"/>
    <col min="5125" max="5125" width="8.42578125" style="2" customWidth="1"/>
    <col min="5126" max="5126" width="9.5703125" style="2" customWidth="1"/>
    <col min="5127" max="5127" width="9.42578125" style="2" customWidth="1"/>
    <col min="5128" max="5128" width="8.5703125" style="2" customWidth="1"/>
    <col min="5129" max="5129" width="9.140625" style="2" customWidth="1"/>
    <col min="5130" max="5130" width="8.140625" style="2" customWidth="1"/>
    <col min="5131" max="5131" width="8.85546875" style="2" customWidth="1"/>
    <col min="5132" max="5132" width="8.140625" style="2" customWidth="1"/>
    <col min="5133" max="5133" width="8.85546875" style="2" customWidth="1"/>
    <col min="5134" max="5135" width="9.28515625" style="2" customWidth="1"/>
    <col min="5136" max="5136" width="8.42578125" style="2" customWidth="1"/>
    <col min="5137" max="5137" width="8.140625" style="2" customWidth="1"/>
    <col min="5138" max="5138" width="6" style="2" bestFit="1" customWidth="1"/>
    <col min="5139" max="5139" width="7.85546875" style="2" bestFit="1" customWidth="1"/>
    <col min="5140" max="5140" width="5.85546875" style="2" bestFit="1" customWidth="1"/>
    <col min="5141" max="5141" width="6.85546875" style="2" bestFit="1" customWidth="1"/>
    <col min="5142" max="5142" width="6" style="2" bestFit="1" customWidth="1"/>
    <col min="5143" max="5143" width="7.85546875" style="2" bestFit="1" customWidth="1"/>
    <col min="5144" max="5144" width="8.5703125" style="2" customWidth="1"/>
    <col min="5145" max="5145" width="6.85546875" style="2" bestFit="1" customWidth="1"/>
    <col min="5146" max="5146" width="7.5703125" style="2" customWidth="1"/>
    <col min="5147" max="5147" width="8.42578125" style="2" customWidth="1"/>
    <col min="5148" max="5148" width="8" style="2" customWidth="1"/>
    <col min="5149" max="5149" width="8.7109375" style="2" customWidth="1"/>
    <col min="5150" max="5150" width="9.42578125" style="2" customWidth="1"/>
    <col min="5151" max="5151" width="9.7109375" style="2" customWidth="1"/>
    <col min="5152" max="5152" width="10.28515625" style="2" customWidth="1"/>
    <col min="5153" max="5153" width="10" style="2" customWidth="1"/>
    <col min="5154" max="5155" width="8" style="2" customWidth="1"/>
    <col min="5156" max="5156" width="7.42578125" style="2" customWidth="1"/>
    <col min="5157" max="5157" width="7.85546875" style="2" customWidth="1"/>
    <col min="5158" max="5158" width="7.5703125" style="2" bestFit="1" customWidth="1"/>
    <col min="5159" max="5159" width="7.85546875" style="2" bestFit="1" customWidth="1"/>
    <col min="5160" max="5160" width="8.7109375" style="2" customWidth="1"/>
    <col min="5161" max="5161" width="9.42578125" style="2" customWidth="1"/>
    <col min="5162" max="5162" width="8.42578125" style="2" customWidth="1"/>
    <col min="5163" max="5163" width="8" style="2" customWidth="1"/>
    <col min="5164" max="5164" width="6.7109375" style="2" customWidth="1"/>
    <col min="5165" max="5165" width="8" style="2" customWidth="1"/>
    <col min="5166" max="5169" width="0" style="2" hidden="1" customWidth="1"/>
    <col min="5170" max="5170" width="8" style="2" customWidth="1"/>
    <col min="5171" max="5171" width="8.28515625" style="2" customWidth="1"/>
    <col min="5172" max="5172" width="8.42578125" style="2" customWidth="1"/>
    <col min="5173" max="5173" width="7.42578125" style="2" customWidth="1"/>
    <col min="5174" max="5175" width="9.140625" style="2" bestFit="1" customWidth="1"/>
    <col min="5176" max="5176" width="9.140625" style="2" customWidth="1"/>
    <col min="5177" max="5177" width="9.140625" style="2" bestFit="1" customWidth="1"/>
    <col min="5178" max="5178" width="5.7109375" style="2" customWidth="1"/>
    <col min="5179" max="5179" width="7.85546875" style="2" customWidth="1"/>
    <col min="5180" max="5180" width="6.85546875" style="2" customWidth="1"/>
    <col min="5181" max="5181" width="4" style="2" customWidth="1"/>
    <col min="5182" max="5182" width="7" style="2" customWidth="1"/>
    <col min="5183" max="5183" width="7.85546875" style="2" customWidth="1"/>
    <col min="5184" max="5184" width="6.85546875" style="2" customWidth="1"/>
    <col min="5185" max="5185" width="7.140625" style="2" customWidth="1"/>
    <col min="5186" max="5186" width="9.5703125" style="2" customWidth="1"/>
    <col min="5187" max="5187" width="9.42578125" style="2" customWidth="1"/>
    <col min="5188" max="5188" width="9" style="2" customWidth="1"/>
    <col min="5189" max="5189" width="9.85546875" style="2" customWidth="1"/>
    <col min="5190" max="5190" width="5.42578125" style="2" customWidth="1"/>
    <col min="5191" max="5359" width="9.85546875" style="2"/>
    <col min="5360" max="5360" width="27.85546875" style="2" customWidth="1"/>
    <col min="5361" max="5361" width="5.7109375" style="2" customWidth="1"/>
    <col min="5362" max="5362" width="9.85546875" style="2" customWidth="1"/>
    <col min="5363" max="5363" width="9.140625" style="2" customWidth="1"/>
    <col min="5364" max="5369" width="9.140625" style="2" bestFit="1" customWidth="1"/>
    <col min="5370" max="5370" width="7.5703125" style="2" customWidth="1"/>
    <col min="5371" max="5371" width="8.7109375" style="2" customWidth="1"/>
    <col min="5372" max="5372" width="7.7109375" style="2" customWidth="1"/>
    <col min="5373" max="5373" width="9.140625" style="2" bestFit="1" customWidth="1"/>
    <col min="5374" max="5374" width="8" style="2" customWidth="1"/>
    <col min="5375" max="5375" width="8.42578125" style="2" bestFit="1" customWidth="1"/>
    <col min="5376" max="5376" width="6.5703125" style="2" bestFit="1" customWidth="1"/>
    <col min="5377" max="5377" width="10" style="2" customWidth="1"/>
    <col min="5378" max="5378" width="9.140625" style="2" customWidth="1"/>
    <col min="5379" max="5379" width="9" style="2" customWidth="1"/>
    <col min="5380" max="5380" width="10.42578125" style="2" customWidth="1"/>
    <col min="5381" max="5381" width="8.42578125" style="2" customWidth="1"/>
    <col min="5382" max="5382" width="9.5703125" style="2" customWidth="1"/>
    <col min="5383" max="5383" width="9.42578125" style="2" customWidth="1"/>
    <col min="5384" max="5384" width="8.5703125" style="2" customWidth="1"/>
    <col min="5385" max="5385" width="9.140625" style="2" customWidth="1"/>
    <col min="5386" max="5386" width="8.140625" style="2" customWidth="1"/>
    <col min="5387" max="5387" width="8.85546875" style="2" customWidth="1"/>
    <col min="5388" max="5388" width="8.140625" style="2" customWidth="1"/>
    <col min="5389" max="5389" width="8.85546875" style="2" customWidth="1"/>
    <col min="5390" max="5391" width="9.28515625" style="2" customWidth="1"/>
    <col min="5392" max="5392" width="8.42578125" style="2" customWidth="1"/>
    <col min="5393" max="5393" width="8.140625" style="2" customWidth="1"/>
    <col min="5394" max="5394" width="6" style="2" bestFit="1" customWidth="1"/>
    <col min="5395" max="5395" width="7.85546875" style="2" bestFit="1" customWidth="1"/>
    <col min="5396" max="5396" width="5.85546875" style="2" bestFit="1" customWidth="1"/>
    <col min="5397" max="5397" width="6.85546875" style="2" bestFit="1" customWidth="1"/>
    <col min="5398" max="5398" width="6" style="2" bestFit="1" customWidth="1"/>
    <col min="5399" max="5399" width="7.85546875" style="2" bestFit="1" customWidth="1"/>
    <col min="5400" max="5400" width="8.5703125" style="2" customWidth="1"/>
    <col min="5401" max="5401" width="6.85546875" style="2" bestFit="1" customWidth="1"/>
    <col min="5402" max="5402" width="7.5703125" style="2" customWidth="1"/>
    <col min="5403" max="5403" width="8.42578125" style="2" customWidth="1"/>
    <col min="5404" max="5404" width="8" style="2" customWidth="1"/>
    <col min="5405" max="5405" width="8.7109375" style="2" customWidth="1"/>
    <col min="5406" max="5406" width="9.42578125" style="2" customWidth="1"/>
    <col min="5407" max="5407" width="9.7109375" style="2" customWidth="1"/>
    <col min="5408" max="5408" width="10.28515625" style="2" customWidth="1"/>
    <col min="5409" max="5409" width="10" style="2" customWidth="1"/>
    <col min="5410" max="5411" width="8" style="2" customWidth="1"/>
    <col min="5412" max="5412" width="7.42578125" style="2" customWidth="1"/>
    <col min="5413" max="5413" width="7.85546875" style="2" customWidth="1"/>
    <col min="5414" max="5414" width="7.5703125" style="2" bestFit="1" customWidth="1"/>
    <col min="5415" max="5415" width="7.85546875" style="2" bestFit="1" customWidth="1"/>
    <col min="5416" max="5416" width="8.7109375" style="2" customWidth="1"/>
    <col min="5417" max="5417" width="9.42578125" style="2" customWidth="1"/>
    <col min="5418" max="5418" width="8.42578125" style="2" customWidth="1"/>
    <col min="5419" max="5419" width="8" style="2" customWidth="1"/>
    <col min="5420" max="5420" width="6.7109375" style="2" customWidth="1"/>
    <col min="5421" max="5421" width="8" style="2" customWidth="1"/>
    <col min="5422" max="5425" width="0" style="2" hidden="1" customWidth="1"/>
    <col min="5426" max="5426" width="8" style="2" customWidth="1"/>
    <col min="5427" max="5427" width="8.28515625" style="2" customWidth="1"/>
    <col min="5428" max="5428" width="8.42578125" style="2" customWidth="1"/>
    <col min="5429" max="5429" width="7.42578125" style="2" customWidth="1"/>
    <col min="5430" max="5431" width="9.140625" style="2" bestFit="1" customWidth="1"/>
    <col min="5432" max="5432" width="9.140625" style="2" customWidth="1"/>
    <col min="5433" max="5433" width="9.140625" style="2" bestFit="1" customWidth="1"/>
    <col min="5434" max="5434" width="5.7109375" style="2" customWidth="1"/>
    <col min="5435" max="5435" width="7.85546875" style="2" customWidth="1"/>
    <col min="5436" max="5436" width="6.85546875" style="2" customWidth="1"/>
    <col min="5437" max="5437" width="4" style="2" customWidth="1"/>
    <col min="5438" max="5438" width="7" style="2" customWidth="1"/>
    <col min="5439" max="5439" width="7.85546875" style="2" customWidth="1"/>
    <col min="5440" max="5440" width="6.85546875" style="2" customWidth="1"/>
    <col min="5441" max="5441" width="7.140625" style="2" customWidth="1"/>
    <col min="5442" max="5442" width="9.5703125" style="2" customWidth="1"/>
    <col min="5443" max="5443" width="9.42578125" style="2" customWidth="1"/>
    <col min="5444" max="5444" width="9" style="2" customWidth="1"/>
    <col min="5445" max="5445" width="9.85546875" style="2" customWidth="1"/>
    <col min="5446" max="5446" width="5.42578125" style="2" customWidth="1"/>
    <col min="5447" max="5615" width="9.85546875" style="2"/>
    <col min="5616" max="5616" width="27.85546875" style="2" customWidth="1"/>
    <col min="5617" max="5617" width="5.7109375" style="2" customWidth="1"/>
    <col min="5618" max="5618" width="9.85546875" style="2" customWidth="1"/>
    <col min="5619" max="5619" width="9.140625" style="2" customWidth="1"/>
    <col min="5620" max="5625" width="9.140625" style="2" bestFit="1" customWidth="1"/>
    <col min="5626" max="5626" width="7.5703125" style="2" customWidth="1"/>
    <col min="5627" max="5627" width="8.7109375" style="2" customWidth="1"/>
    <col min="5628" max="5628" width="7.7109375" style="2" customWidth="1"/>
    <col min="5629" max="5629" width="9.140625" style="2" bestFit="1" customWidth="1"/>
    <col min="5630" max="5630" width="8" style="2" customWidth="1"/>
    <col min="5631" max="5631" width="8.42578125" style="2" bestFit="1" customWidth="1"/>
    <col min="5632" max="5632" width="6.5703125" style="2" bestFit="1" customWidth="1"/>
    <col min="5633" max="5633" width="10" style="2" customWidth="1"/>
    <col min="5634" max="5634" width="9.140625" style="2" customWidth="1"/>
    <col min="5635" max="5635" width="9" style="2" customWidth="1"/>
    <col min="5636" max="5636" width="10.42578125" style="2" customWidth="1"/>
    <col min="5637" max="5637" width="8.42578125" style="2" customWidth="1"/>
    <col min="5638" max="5638" width="9.5703125" style="2" customWidth="1"/>
    <col min="5639" max="5639" width="9.42578125" style="2" customWidth="1"/>
    <col min="5640" max="5640" width="8.5703125" style="2" customWidth="1"/>
    <col min="5641" max="5641" width="9.140625" style="2" customWidth="1"/>
    <col min="5642" max="5642" width="8.140625" style="2" customWidth="1"/>
    <col min="5643" max="5643" width="8.85546875" style="2" customWidth="1"/>
    <col min="5644" max="5644" width="8.140625" style="2" customWidth="1"/>
    <col min="5645" max="5645" width="8.85546875" style="2" customWidth="1"/>
    <col min="5646" max="5647" width="9.28515625" style="2" customWidth="1"/>
    <col min="5648" max="5648" width="8.42578125" style="2" customWidth="1"/>
    <col min="5649" max="5649" width="8.140625" style="2" customWidth="1"/>
    <col min="5650" max="5650" width="6" style="2" bestFit="1" customWidth="1"/>
    <col min="5651" max="5651" width="7.85546875" style="2" bestFit="1" customWidth="1"/>
    <col min="5652" max="5652" width="5.85546875" style="2" bestFit="1" customWidth="1"/>
    <col min="5653" max="5653" width="6.85546875" style="2" bestFit="1" customWidth="1"/>
    <col min="5654" max="5654" width="6" style="2" bestFit="1" customWidth="1"/>
    <col min="5655" max="5655" width="7.85546875" style="2" bestFit="1" customWidth="1"/>
    <col min="5656" max="5656" width="8.5703125" style="2" customWidth="1"/>
    <col min="5657" max="5657" width="6.85546875" style="2" bestFit="1" customWidth="1"/>
    <col min="5658" max="5658" width="7.5703125" style="2" customWidth="1"/>
    <col min="5659" max="5659" width="8.42578125" style="2" customWidth="1"/>
    <col min="5660" max="5660" width="8" style="2" customWidth="1"/>
    <col min="5661" max="5661" width="8.7109375" style="2" customWidth="1"/>
    <col min="5662" max="5662" width="9.42578125" style="2" customWidth="1"/>
    <col min="5663" max="5663" width="9.7109375" style="2" customWidth="1"/>
    <col min="5664" max="5664" width="10.28515625" style="2" customWidth="1"/>
    <col min="5665" max="5665" width="10" style="2" customWidth="1"/>
    <col min="5666" max="5667" width="8" style="2" customWidth="1"/>
    <col min="5668" max="5668" width="7.42578125" style="2" customWidth="1"/>
    <col min="5669" max="5669" width="7.85546875" style="2" customWidth="1"/>
    <col min="5670" max="5670" width="7.5703125" style="2" bestFit="1" customWidth="1"/>
    <col min="5671" max="5671" width="7.85546875" style="2" bestFit="1" customWidth="1"/>
    <col min="5672" max="5672" width="8.7109375" style="2" customWidth="1"/>
    <col min="5673" max="5673" width="9.42578125" style="2" customWidth="1"/>
    <col min="5674" max="5674" width="8.42578125" style="2" customWidth="1"/>
    <col min="5675" max="5675" width="8" style="2" customWidth="1"/>
    <col min="5676" max="5676" width="6.7109375" style="2" customWidth="1"/>
    <col min="5677" max="5677" width="8" style="2" customWidth="1"/>
    <col min="5678" max="5681" width="0" style="2" hidden="1" customWidth="1"/>
    <col min="5682" max="5682" width="8" style="2" customWidth="1"/>
    <col min="5683" max="5683" width="8.28515625" style="2" customWidth="1"/>
    <col min="5684" max="5684" width="8.42578125" style="2" customWidth="1"/>
    <col min="5685" max="5685" width="7.42578125" style="2" customWidth="1"/>
    <col min="5686" max="5687" width="9.140625" style="2" bestFit="1" customWidth="1"/>
    <col min="5688" max="5688" width="9.140625" style="2" customWidth="1"/>
    <col min="5689" max="5689" width="9.140625" style="2" bestFit="1" customWidth="1"/>
    <col min="5690" max="5690" width="5.7109375" style="2" customWidth="1"/>
    <col min="5691" max="5691" width="7.85546875" style="2" customWidth="1"/>
    <col min="5692" max="5692" width="6.85546875" style="2" customWidth="1"/>
    <col min="5693" max="5693" width="4" style="2" customWidth="1"/>
    <col min="5694" max="5694" width="7" style="2" customWidth="1"/>
    <col min="5695" max="5695" width="7.85546875" style="2" customWidth="1"/>
    <col min="5696" max="5696" width="6.85546875" style="2" customWidth="1"/>
    <col min="5697" max="5697" width="7.140625" style="2" customWidth="1"/>
    <col min="5698" max="5698" width="9.5703125" style="2" customWidth="1"/>
    <col min="5699" max="5699" width="9.42578125" style="2" customWidth="1"/>
    <col min="5700" max="5700" width="9" style="2" customWidth="1"/>
    <col min="5701" max="5701" width="9.85546875" style="2" customWidth="1"/>
    <col min="5702" max="5702" width="5.42578125" style="2" customWidth="1"/>
    <col min="5703" max="5871" width="9.85546875" style="2"/>
    <col min="5872" max="5872" width="27.85546875" style="2" customWidth="1"/>
    <col min="5873" max="5873" width="5.7109375" style="2" customWidth="1"/>
    <col min="5874" max="5874" width="9.85546875" style="2" customWidth="1"/>
    <col min="5875" max="5875" width="9.140625" style="2" customWidth="1"/>
    <col min="5876" max="5881" width="9.140625" style="2" bestFit="1" customWidth="1"/>
    <col min="5882" max="5882" width="7.5703125" style="2" customWidth="1"/>
    <col min="5883" max="5883" width="8.7109375" style="2" customWidth="1"/>
    <col min="5884" max="5884" width="7.7109375" style="2" customWidth="1"/>
    <col min="5885" max="5885" width="9.140625" style="2" bestFit="1" customWidth="1"/>
    <col min="5886" max="5886" width="8" style="2" customWidth="1"/>
    <col min="5887" max="5887" width="8.42578125" style="2" bestFit="1" customWidth="1"/>
    <col min="5888" max="5888" width="6.5703125" style="2" bestFit="1" customWidth="1"/>
    <col min="5889" max="5889" width="10" style="2" customWidth="1"/>
    <col min="5890" max="5890" width="9.140625" style="2" customWidth="1"/>
    <col min="5891" max="5891" width="9" style="2" customWidth="1"/>
    <col min="5892" max="5892" width="10.42578125" style="2" customWidth="1"/>
    <col min="5893" max="5893" width="8.42578125" style="2" customWidth="1"/>
    <col min="5894" max="5894" width="9.5703125" style="2" customWidth="1"/>
    <col min="5895" max="5895" width="9.42578125" style="2" customWidth="1"/>
    <col min="5896" max="5896" width="8.5703125" style="2" customWidth="1"/>
    <col min="5897" max="5897" width="9.140625" style="2" customWidth="1"/>
    <col min="5898" max="5898" width="8.140625" style="2" customWidth="1"/>
    <col min="5899" max="5899" width="8.85546875" style="2" customWidth="1"/>
    <col min="5900" max="5900" width="8.140625" style="2" customWidth="1"/>
    <col min="5901" max="5901" width="8.85546875" style="2" customWidth="1"/>
    <col min="5902" max="5903" width="9.28515625" style="2" customWidth="1"/>
    <col min="5904" max="5904" width="8.42578125" style="2" customWidth="1"/>
    <col min="5905" max="5905" width="8.140625" style="2" customWidth="1"/>
    <col min="5906" max="5906" width="6" style="2" bestFit="1" customWidth="1"/>
    <col min="5907" max="5907" width="7.85546875" style="2" bestFit="1" customWidth="1"/>
    <col min="5908" max="5908" width="5.85546875" style="2" bestFit="1" customWidth="1"/>
    <col min="5909" max="5909" width="6.85546875" style="2" bestFit="1" customWidth="1"/>
    <col min="5910" max="5910" width="6" style="2" bestFit="1" customWidth="1"/>
    <col min="5911" max="5911" width="7.85546875" style="2" bestFit="1" customWidth="1"/>
    <col min="5912" max="5912" width="8.5703125" style="2" customWidth="1"/>
    <col min="5913" max="5913" width="6.85546875" style="2" bestFit="1" customWidth="1"/>
    <col min="5914" max="5914" width="7.5703125" style="2" customWidth="1"/>
    <col min="5915" max="5915" width="8.42578125" style="2" customWidth="1"/>
    <col min="5916" max="5916" width="8" style="2" customWidth="1"/>
    <col min="5917" max="5917" width="8.7109375" style="2" customWidth="1"/>
    <col min="5918" max="5918" width="9.42578125" style="2" customWidth="1"/>
    <col min="5919" max="5919" width="9.7109375" style="2" customWidth="1"/>
    <col min="5920" max="5920" width="10.28515625" style="2" customWidth="1"/>
    <col min="5921" max="5921" width="10" style="2" customWidth="1"/>
    <col min="5922" max="5923" width="8" style="2" customWidth="1"/>
    <col min="5924" max="5924" width="7.42578125" style="2" customWidth="1"/>
    <col min="5925" max="5925" width="7.85546875" style="2" customWidth="1"/>
    <col min="5926" max="5926" width="7.5703125" style="2" bestFit="1" customWidth="1"/>
    <col min="5927" max="5927" width="7.85546875" style="2" bestFit="1" customWidth="1"/>
    <col min="5928" max="5928" width="8.7109375" style="2" customWidth="1"/>
    <col min="5929" max="5929" width="9.42578125" style="2" customWidth="1"/>
    <col min="5930" max="5930" width="8.42578125" style="2" customWidth="1"/>
    <col min="5931" max="5931" width="8" style="2" customWidth="1"/>
    <col min="5932" max="5932" width="6.7109375" style="2" customWidth="1"/>
    <col min="5933" max="5933" width="8" style="2" customWidth="1"/>
    <col min="5934" max="5937" width="0" style="2" hidden="1" customWidth="1"/>
    <col min="5938" max="5938" width="8" style="2" customWidth="1"/>
    <col min="5939" max="5939" width="8.28515625" style="2" customWidth="1"/>
    <col min="5940" max="5940" width="8.42578125" style="2" customWidth="1"/>
    <col min="5941" max="5941" width="7.42578125" style="2" customWidth="1"/>
    <col min="5942" max="5943" width="9.140625" style="2" bestFit="1" customWidth="1"/>
    <col min="5944" max="5944" width="9.140625" style="2" customWidth="1"/>
    <col min="5945" max="5945" width="9.140625" style="2" bestFit="1" customWidth="1"/>
    <col min="5946" max="5946" width="5.7109375" style="2" customWidth="1"/>
    <col min="5947" max="5947" width="7.85546875" style="2" customWidth="1"/>
    <col min="5948" max="5948" width="6.85546875" style="2" customWidth="1"/>
    <col min="5949" max="5949" width="4" style="2" customWidth="1"/>
    <col min="5950" max="5950" width="7" style="2" customWidth="1"/>
    <col min="5951" max="5951" width="7.85546875" style="2" customWidth="1"/>
    <col min="5952" max="5952" width="6.85546875" style="2" customWidth="1"/>
    <col min="5953" max="5953" width="7.140625" style="2" customWidth="1"/>
    <col min="5954" max="5954" width="9.5703125" style="2" customWidth="1"/>
    <col min="5955" max="5955" width="9.42578125" style="2" customWidth="1"/>
    <col min="5956" max="5956" width="9" style="2" customWidth="1"/>
    <col min="5957" max="5957" width="9.85546875" style="2" customWidth="1"/>
    <col min="5958" max="5958" width="5.42578125" style="2" customWidth="1"/>
    <col min="5959" max="6127" width="9.85546875" style="2"/>
    <col min="6128" max="6128" width="27.85546875" style="2" customWidth="1"/>
    <col min="6129" max="6129" width="5.7109375" style="2" customWidth="1"/>
    <col min="6130" max="6130" width="9.85546875" style="2" customWidth="1"/>
    <col min="6131" max="6131" width="9.140625" style="2" customWidth="1"/>
    <col min="6132" max="6137" width="9.140625" style="2" bestFit="1" customWidth="1"/>
    <col min="6138" max="6138" width="7.5703125" style="2" customWidth="1"/>
    <col min="6139" max="6139" width="8.7109375" style="2" customWidth="1"/>
    <col min="6140" max="6140" width="7.7109375" style="2" customWidth="1"/>
    <col min="6141" max="6141" width="9.140625" style="2" bestFit="1" customWidth="1"/>
    <col min="6142" max="6142" width="8" style="2" customWidth="1"/>
    <col min="6143" max="6143" width="8.42578125" style="2" bestFit="1" customWidth="1"/>
    <col min="6144" max="6144" width="6.5703125" style="2" bestFit="1" customWidth="1"/>
    <col min="6145" max="6145" width="10" style="2" customWidth="1"/>
    <col min="6146" max="6146" width="9.140625" style="2" customWidth="1"/>
    <col min="6147" max="6147" width="9" style="2" customWidth="1"/>
    <col min="6148" max="6148" width="10.42578125" style="2" customWidth="1"/>
    <col min="6149" max="6149" width="8.42578125" style="2" customWidth="1"/>
    <col min="6150" max="6150" width="9.5703125" style="2" customWidth="1"/>
    <col min="6151" max="6151" width="9.42578125" style="2" customWidth="1"/>
    <col min="6152" max="6152" width="8.5703125" style="2" customWidth="1"/>
    <col min="6153" max="6153" width="9.140625" style="2" customWidth="1"/>
    <col min="6154" max="6154" width="8.140625" style="2" customWidth="1"/>
    <col min="6155" max="6155" width="8.85546875" style="2" customWidth="1"/>
    <col min="6156" max="6156" width="8.140625" style="2" customWidth="1"/>
    <col min="6157" max="6157" width="8.85546875" style="2" customWidth="1"/>
    <col min="6158" max="6159" width="9.28515625" style="2" customWidth="1"/>
    <col min="6160" max="6160" width="8.42578125" style="2" customWidth="1"/>
    <col min="6161" max="6161" width="8.140625" style="2" customWidth="1"/>
    <col min="6162" max="6162" width="6" style="2" bestFit="1" customWidth="1"/>
    <col min="6163" max="6163" width="7.85546875" style="2" bestFit="1" customWidth="1"/>
    <col min="6164" max="6164" width="5.85546875" style="2" bestFit="1" customWidth="1"/>
    <col min="6165" max="6165" width="6.85546875" style="2" bestFit="1" customWidth="1"/>
    <col min="6166" max="6166" width="6" style="2" bestFit="1" customWidth="1"/>
    <col min="6167" max="6167" width="7.85546875" style="2" bestFit="1" customWidth="1"/>
    <col min="6168" max="6168" width="8.5703125" style="2" customWidth="1"/>
    <col min="6169" max="6169" width="6.85546875" style="2" bestFit="1" customWidth="1"/>
    <col min="6170" max="6170" width="7.5703125" style="2" customWidth="1"/>
    <col min="6171" max="6171" width="8.42578125" style="2" customWidth="1"/>
    <col min="6172" max="6172" width="8" style="2" customWidth="1"/>
    <col min="6173" max="6173" width="8.7109375" style="2" customWidth="1"/>
    <col min="6174" max="6174" width="9.42578125" style="2" customWidth="1"/>
    <col min="6175" max="6175" width="9.7109375" style="2" customWidth="1"/>
    <col min="6176" max="6176" width="10.28515625" style="2" customWidth="1"/>
    <col min="6177" max="6177" width="10" style="2" customWidth="1"/>
    <col min="6178" max="6179" width="8" style="2" customWidth="1"/>
    <col min="6180" max="6180" width="7.42578125" style="2" customWidth="1"/>
    <col min="6181" max="6181" width="7.85546875" style="2" customWidth="1"/>
    <col min="6182" max="6182" width="7.5703125" style="2" bestFit="1" customWidth="1"/>
    <col min="6183" max="6183" width="7.85546875" style="2" bestFit="1" customWidth="1"/>
    <col min="6184" max="6184" width="8.7109375" style="2" customWidth="1"/>
    <col min="6185" max="6185" width="9.42578125" style="2" customWidth="1"/>
    <col min="6186" max="6186" width="8.42578125" style="2" customWidth="1"/>
    <col min="6187" max="6187" width="8" style="2" customWidth="1"/>
    <col min="6188" max="6188" width="6.7109375" style="2" customWidth="1"/>
    <col min="6189" max="6189" width="8" style="2" customWidth="1"/>
    <col min="6190" max="6193" width="0" style="2" hidden="1" customWidth="1"/>
    <col min="6194" max="6194" width="8" style="2" customWidth="1"/>
    <col min="6195" max="6195" width="8.28515625" style="2" customWidth="1"/>
    <col min="6196" max="6196" width="8.42578125" style="2" customWidth="1"/>
    <col min="6197" max="6197" width="7.42578125" style="2" customWidth="1"/>
    <col min="6198" max="6199" width="9.140625" style="2" bestFit="1" customWidth="1"/>
    <col min="6200" max="6200" width="9.140625" style="2" customWidth="1"/>
    <col min="6201" max="6201" width="9.140625" style="2" bestFit="1" customWidth="1"/>
    <col min="6202" max="6202" width="5.7109375" style="2" customWidth="1"/>
    <col min="6203" max="6203" width="7.85546875" style="2" customWidth="1"/>
    <col min="6204" max="6204" width="6.85546875" style="2" customWidth="1"/>
    <col min="6205" max="6205" width="4" style="2" customWidth="1"/>
    <col min="6206" max="6206" width="7" style="2" customWidth="1"/>
    <col min="6207" max="6207" width="7.85546875" style="2" customWidth="1"/>
    <col min="6208" max="6208" width="6.85546875" style="2" customWidth="1"/>
    <col min="6209" max="6209" width="7.140625" style="2" customWidth="1"/>
    <col min="6210" max="6210" width="9.5703125" style="2" customWidth="1"/>
    <col min="6211" max="6211" width="9.42578125" style="2" customWidth="1"/>
    <col min="6212" max="6212" width="9" style="2" customWidth="1"/>
    <col min="6213" max="6213" width="9.85546875" style="2" customWidth="1"/>
    <col min="6214" max="6214" width="5.42578125" style="2" customWidth="1"/>
    <col min="6215" max="6383" width="9.85546875" style="2"/>
    <col min="6384" max="6384" width="27.85546875" style="2" customWidth="1"/>
    <col min="6385" max="6385" width="5.7109375" style="2" customWidth="1"/>
    <col min="6386" max="6386" width="9.85546875" style="2" customWidth="1"/>
    <col min="6387" max="6387" width="9.140625" style="2" customWidth="1"/>
    <col min="6388" max="6393" width="9.140625" style="2" bestFit="1" customWidth="1"/>
    <col min="6394" max="6394" width="7.5703125" style="2" customWidth="1"/>
    <col min="6395" max="6395" width="8.7109375" style="2" customWidth="1"/>
    <col min="6396" max="6396" width="7.7109375" style="2" customWidth="1"/>
    <col min="6397" max="6397" width="9.140625" style="2" bestFit="1" customWidth="1"/>
    <col min="6398" max="6398" width="8" style="2" customWidth="1"/>
    <col min="6399" max="6399" width="8.42578125" style="2" bestFit="1" customWidth="1"/>
    <col min="6400" max="6400" width="6.5703125" style="2" bestFit="1" customWidth="1"/>
    <col min="6401" max="6401" width="10" style="2" customWidth="1"/>
    <col min="6402" max="6402" width="9.140625" style="2" customWidth="1"/>
    <col min="6403" max="6403" width="9" style="2" customWidth="1"/>
    <col min="6404" max="6404" width="10.42578125" style="2" customWidth="1"/>
    <col min="6405" max="6405" width="8.42578125" style="2" customWidth="1"/>
    <col min="6406" max="6406" width="9.5703125" style="2" customWidth="1"/>
    <col min="6407" max="6407" width="9.42578125" style="2" customWidth="1"/>
    <col min="6408" max="6408" width="8.5703125" style="2" customWidth="1"/>
    <col min="6409" max="6409" width="9.140625" style="2" customWidth="1"/>
    <col min="6410" max="6410" width="8.140625" style="2" customWidth="1"/>
    <col min="6411" max="6411" width="8.85546875" style="2" customWidth="1"/>
    <col min="6412" max="6412" width="8.140625" style="2" customWidth="1"/>
    <col min="6413" max="6413" width="8.85546875" style="2" customWidth="1"/>
    <col min="6414" max="6415" width="9.28515625" style="2" customWidth="1"/>
    <col min="6416" max="6416" width="8.42578125" style="2" customWidth="1"/>
    <col min="6417" max="6417" width="8.140625" style="2" customWidth="1"/>
    <col min="6418" max="6418" width="6" style="2" bestFit="1" customWidth="1"/>
    <col min="6419" max="6419" width="7.85546875" style="2" bestFit="1" customWidth="1"/>
    <col min="6420" max="6420" width="5.85546875" style="2" bestFit="1" customWidth="1"/>
    <col min="6421" max="6421" width="6.85546875" style="2" bestFit="1" customWidth="1"/>
    <col min="6422" max="6422" width="6" style="2" bestFit="1" customWidth="1"/>
    <col min="6423" max="6423" width="7.85546875" style="2" bestFit="1" customWidth="1"/>
    <col min="6424" max="6424" width="8.5703125" style="2" customWidth="1"/>
    <col min="6425" max="6425" width="6.85546875" style="2" bestFit="1" customWidth="1"/>
    <col min="6426" max="6426" width="7.5703125" style="2" customWidth="1"/>
    <col min="6427" max="6427" width="8.42578125" style="2" customWidth="1"/>
    <col min="6428" max="6428" width="8" style="2" customWidth="1"/>
    <col min="6429" max="6429" width="8.7109375" style="2" customWidth="1"/>
    <col min="6430" max="6430" width="9.42578125" style="2" customWidth="1"/>
    <col min="6431" max="6431" width="9.7109375" style="2" customWidth="1"/>
    <col min="6432" max="6432" width="10.28515625" style="2" customWidth="1"/>
    <col min="6433" max="6433" width="10" style="2" customWidth="1"/>
    <col min="6434" max="6435" width="8" style="2" customWidth="1"/>
    <col min="6436" max="6436" width="7.42578125" style="2" customWidth="1"/>
    <col min="6437" max="6437" width="7.85546875" style="2" customWidth="1"/>
    <col min="6438" max="6438" width="7.5703125" style="2" bestFit="1" customWidth="1"/>
    <col min="6439" max="6439" width="7.85546875" style="2" bestFit="1" customWidth="1"/>
    <col min="6440" max="6440" width="8.7109375" style="2" customWidth="1"/>
    <col min="6441" max="6441" width="9.42578125" style="2" customWidth="1"/>
    <col min="6442" max="6442" width="8.42578125" style="2" customWidth="1"/>
    <col min="6443" max="6443" width="8" style="2" customWidth="1"/>
    <col min="6444" max="6444" width="6.7109375" style="2" customWidth="1"/>
    <col min="6445" max="6445" width="8" style="2" customWidth="1"/>
    <col min="6446" max="6449" width="0" style="2" hidden="1" customWidth="1"/>
    <col min="6450" max="6450" width="8" style="2" customWidth="1"/>
    <col min="6451" max="6451" width="8.28515625" style="2" customWidth="1"/>
    <col min="6452" max="6452" width="8.42578125" style="2" customWidth="1"/>
    <col min="6453" max="6453" width="7.42578125" style="2" customWidth="1"/>
    <col min="6454" max="6455" width="9.140625" style="2" bestFit="1" customWidth="1"/>
    <col min="6456" max="6456" width="9.140625" style="2" customWidth="1"/>
    <col min="6457" max="6457" width="9.140625" style="2" bestFit="1" customWidth="1"/>
    <col min="6458" max="6458" width="5.7109375" style="2" customWidth="1"/>
    <col min="6459" max="6459" width="7.85546875" style="2" customWidth="1"/>
    <col min="6460" max="6460" width="6.85546875" style="2" customWidth="1"/>
    <col min="6461" max="6461" width="4" style="2" customWidth="1"/>
    <col min="6462" max="6462" width="7" style="2" customWidth="1"/>
    <col min="6463" max="6463" width="7.85546875" style="2" customWidth="1"/>
    <col min="6464" max="6464" width="6.85546875" style="2" customWidth="1"/>
    <col min="6465" max="6465" width="7.140625" style="2" customWidth="1"/>
    <col min="6466" max="6466" width="9.5703125" style="2" customWidth="1"/>
    <col min="6467" max="6467" width="9.42578125" style="2" customWidth="1"/>
    <col min="6468" max="6468" width="9" style="2" customWidth="1"/>
    <col min="6469" max="6469" width="9.85546875" style="2" customWidth="1"/>
    <col min="6470" max="6470" width="5.42578125" style="2" customWidth="1"/>
    <col min="6471" max="6639" width="9.85546875" style="2"/>
    <col min="6640" max="6640" width="27.85546875" style="2" customWidth="1"/>
    <col min="6641" max="6641" width="5.7109375" style="2" customWidth="1"/>
    <col min="6642" max="6642" width="9.85546875" style="2" customWidth="1"/>
    <col min="6643" max="6643" width="9.140625" style="2" customWidth="1"/>
    <col min="6644" max="6649" width="9.140625" style="2" bestFit="1" customWidth="1"/>
    <col min="6650" max="6650" width="7.5703125" style="2" customWidth="1"/>
    <col min="6651" max="6651" width="8.7109375" style="2" customWidth="1"/>
    <col min="6652" max="6652" width="7.7109375" style="2" customWidth="1"/>
    <col min="6653" max="6653" width="9.140625" style="2" bestFit="1" customWidth="1"/>
    <col min="6654" max="6654" width="8" style="2" customWidth="1"/>
    <col min="6655" max="6655" width="8.42578125" style="2" bestFit="1" customWidth="1"/>
    <col min="6656" max="6656" width="6.5703125" style="2" bestFit="1" customWidth="1"/>
    <col min="6657" max="6657" width="10" style="2" customWidth="1"/>
    <col min="6658" max="6658" width="9.140625" style="2" customWidth="1"/>
    <col min="6659" max="6659" width="9" style="2" customWidth="1"/>
    <col min="6660" max="6660" width="10.42578125" style="2" customWidth="1"/>
    <col min="6661" max="6661" width="8.42578125" style="2" customWidth="1"/>
    <col min="6662" max="6662" width="9.5703125" style="2" customWidth="1"/>
    <col min="6663" max="6663" width="9.42578125" style="2" customWidth="1"/>
    <col min="6664" max="6664" width="8.5703125" style="2" customWidth="1"/>
    <col min="6665" max="6665" width="9.140625" style="2" customWidth="1"/>
    <col min="6666" max="6666" width="8.140625" style="2" customWidth="1"/>
    <col min="6667" max="6667" width="8.85546875" style="2" customWidth="1"/>
    <col min="6668" max="6668" width="8.140625" style="2" customWidth="1"/>
    <col min="6669" max="6669" width="8.85546875" style="2" customWidth="1"/>
    <col min="6670" max="6671" width="9.28515625" style="2" customWidth="1"/>
    <col min="6672" max="6672" width="8.42578125" style="2" customWidth="1"/>
    <col min="6673" max="6673" width="8.140625" style="2" customWidth="1"/>
    <col min="6674" max="6674" width="6" style="2" bestFit="1" customWidth="1"/>
    <col min="6675" max="6675" width="7.85546875" style="2" bestFit="1" customWidth="1"/>
    <col min="6676" max="6676" width="5.85546875" style="2" bestFit="1" customWidth="1"/>
    <col min="6677" max="6677" width="6.85546875" style="2" bestFit="1" customWidth="1"/>
    <col min="6678" max="6678" width="6" style="2" bestFit="1" customWidth="1"/>
    <col min="6679" max="6679" width="7.85546875" style="2" bestFit="1" customWidth="1"/>
    <col min="6680" max="6680" width="8.5703125" style="2" customWidth="1"/>
    <col min="6681" max="6681" width="6.85546875" style="2" bestFit="1" customWidth="1"/>
    <col min="6682" max="6682" width="7.5703125" style="2" customWidth="1"/>
    <col min="6683" max="6683" width="8.42578125" style="2" customWidth="1"/>
    <col min="6684" max="6684" width="8" style="2" customWidth="1"/>
    <col min="6685" max="6685" width="8.7109375" style="2" customWidth="1"/>
    <col min="6686" max="6686" width="9.42578125" style="2" customWidth="1"/>
    <col min="6687" max="6687" width="9.7109375" style="2" customWidth="1"/>
    <col min="6688" max="6688" width="10.28515625" style="2" customWidth="1"/>
    <col min="6689" max="6689" width="10" style="2" customWidth="1"/>
    <col min="6690" max="6691" width="8" style="2" customWidth="1"/>
    <col min="6692" max="6692" width="7.42578125" style="2" customWidth="1"/>
    <col min="6693" max="6693" width="7.85546875" style="2" customWidth="1"/>
    <col min="6694" max="6694" width="7.5703125" style="2" bestFit="1" customWidth="1"/>
    <col min="6695" max="6695" width="7.85546875" style="2" bestFit="1" customWidth="1"/>
    <col min="6696" max="6696" width="8.7109375" style="2" customWidth="1"/>
    <col min="6697" max="6697" width="9.42578125" style="2" customWidth="1"/>
    <col min="6698" max="6698" width="8.42578125" style="2" customWidth="1"/>
    <col min="6699" max="6699" width="8" style="2" customWidth="1"/>
    <col min="6700" max="6700" width="6.7109375" style="2" customWidth="1"/>
    <col min="6701" max="6701" width="8" style="2" customWidth="1"/>
    <col min="6702" max="6705" width="0" style="2" hidden="1" customWidth="1"/>
    <col min="6706" max="6706" width="8" style="2" customWidth="1"/>
    <col min="6707" max="6707" width="8.28515625" style="2" customWidth="1"/>
    <col min="6708" max="6708" width="8.42578125" style="2" customWidth="1"/>
    <col min="6709" max="6709" width="7.42578125" style="2" customWidth="1"/>
    <col min="6710" max="6711" width="9.140625" style="2" bestFit="1" customWidth="1"/>
    <col min="6712" max="6712" width="9.140625" style="2" customWidth="1"/>
    <col min="6713" max="6713" width="9.140625" style="2" bestFit="1" customWidth="1"/>
    <col min="6714" max="6714" width="5.7109375" style="2" customWidth="1"/>
    <col min="6715" max="6715" width="7.85546875" style="2" customWidth="1"/>
    <col min="6716" max="6716" width="6.85546875" style="2" customWidth="1"/>
    <col min="6717" max="6717" width="4" style="2" customWidth="1"/>
    <col min="6718" max="6718" width="7" style="2" customWidth="1"/>
    <col min="6719" max="6719" width="7.85546875" style="2" customWidth="1"/>
    <col min="6720" max="6720" width="6.85546875" style="2" customWidth="1"/>
    <col min="6721" max="6721" width="7.140625" style="2" customWidth="1"/>
    <col min="6722" max="6722" width="9.5703125" style="2" customWidth="1"/>
    <col min="6723" max="6723" width="9.42578125" style="2" customWidth="1"/>
    <col min="6724" max="6724" width="9" style="2" customWidth="1"/>
    <col min="6725" max="6725" width="9.85546875" style="2" customWidth="1"/>
    <col min="6726" max="6726" width="5.42578125" style="2" customWidth="1"/>
    <col min="6727" max="6895" width="9.85546875" style="2"/>
    <col min="6896" max="6896" width="27.85546875" style="2" customWidth="1"/>
    <col min="6897" max="6897" width="5.7109375" style="2" customWidth="1"/>
    <col min="6898" max="6898" width="9.85546875" style="2" customWidth="1"/>
    <col min="6899" max="6899" width="9.140625" style="2" customWidth="1"/>
    <col min="6900" max="6905" width="9.140625" style="2" bestFit="1" customWidth="1"/>
    <col min="6906" max="6906" width="7.5703125" style="2" customWidth="1"/>
    <col min="6907" max="6907" width="8.7109375" style="2" customWidth="1"/>
    <col min="6908" max="6908" width="7.7109375" style="2" customWidth="1"/>
    <col min="6909" max="6909" width="9.140625" style="2" bestFit="1" customWidth="1"/>
    <col min="6910" max="6910" width="8" style="2" customWidth="1"/>
    <col min="6911" max="6911" width="8.42578125" style="2" bestFit="1" customWidth="1"/>
    <col min="6912" max="6912" width="6.5703125" style="2" bestFit="1" customWidth="1"/>
    <col min="6913" max="6913" width="10" style="2" customWidth="1"/>
    <col min="6914" max="6914" width="9.140625" style="2" customWidth="1"/>
    <col min="6915" max="6915" width="9" style="2" customWidth="1"/>
    <col min="6916" max="6916" width="10.42578125" style="2" customWidth="1"/>
    <col min="6917" max="6917" width="8.42578125" style="2" customWidth="1"/>
    <col min="6918" max="6918" width="9.5703125" style="2" customWidth="1"/>
    <col min="6919" max="6919" width="9.42578125" style="2" customWidth="1"/>
    <col min="6920" max="6920" width="8.5703125" style="2" customWidth="1"/>
    <col min="6921" max="6921" width="9.140625" style="2" customWidth="1"/>
    <col min="6922" max="6922" width="8.140625" style="2" customWidth="1"/>
    <col min="6923" max="6923" width="8.85546875" style="2" customWidth="1"/>
    <col min="6924" max="6924" width="8.140625" style="2" customWidth="1"/>
    <col min="6925" max="6925" width="8.85546875" style="2" customWidth="1"/>
    <col min="6926" max="6927" width="9.28515625" style="2" customWidth="1"/>
    <col min="6928" max="6928" width="8.42578125" style="2" customWidth="1"/>
    <col min="6929" max="6929" width="8.140625" style="2" customWidth="1"/>
    <col min="6930" max="6930" width="6" style="2" bestFit="1" customWidth="1"/>
    <col min="6931" max="6931" width="7.85546875" style="2" bestFit="1" customWidth="1"/>
    <col min="6932" max="6932" width="5.85546875" style="2" bestFit="1" customWidth="1"/>
    <col min="6933" max="6933" width="6.85546875" style="2" bestFit="1" customWidth="1"/>
    <col min="6934" max="6934" width="6" style="2" bestFit="1" customWidth="1"/>
    <col min="6935" max="6935" width="7.85546875" style="2" bestFit="1" customWidth="1"/>
    <col min="6936" max="6936" width="8.5703125" style="2" customWidth="1"/>
    <col min="6937" max="6937" width="6.85546875" style="2" bestFit="1" customWidth="1"/>
    <col min="6938" max="6938" width="7.5703125" style="2" customWidth="1"/>
    <col min="6939" max="6939" width="8.42578125" style="2" customWidth="1"/>
    <col min="6940" max="6940" width="8" style="2" customWidth="1"/>
    <col min="6941" max="6941" width="8.7109375" style="2" customWidth="1"/>
    <col min="6942" max="6942" width="9.42578125" style="2" customWidth="1"/>
    <col min="6943" max="6943" width="9.7109375" style="2" customWidth="1"/>
    <col min="6944" max="6944" width="10.28515625" style="2" customWidth="1"/>
    <col min="6945" max="6945" width="10" style="2" customWidth="1"/>
    <col min="6946" max="6947" width="8" style="2" customWidth="1"/>
    <col min="6948" max="6948" width="7.42578125" style="2" customWidth="1"/>
    <col min="6949" max="6949" width="7.85546875" style="2" customWidth="1"/>
    <col min="6950" max="6950" width="7.5703125" style="2" bestFit="1" customWidth="1"/>
    <col min="6951" max="6951" width="7.85546875" style="2" bestFit="1" customWidth="1"/>
    <col min="6952" max="6952" width="8.7109375" style="2" customWidth="1"/>
    <col min="6953" max="6953" width="9.42578125" style="2" customWidth="1"/>
    <col min="6954" max="6954" width="8.42578125" style="2" customWidth="1"/>
    <col min="6955" max="6955" width="8" style="2" customWidth="1"/>
    <col min="6956" max="6956" width="6.7109375" style="2" customWidth="1"/>
    <col min="6957" max="6957" width="8" style="2" customWidth="1"/>
    <col min="6958" max="6961" width="0" style="2" hidden="1" customWidth="1"/>
    <col min="6962" max="6962" width="8" style="2" customWidth="1"/>
    <col min="6963" max="6963" width="8.28515625" style="2" customWidth="1"/>
    <col min="6964" max="6964" width="8.42578125" style="2" customWidth="1"/>
    <col min="6965" max="6965" width="7.42578125" style="2" customWidth="1"/>
    <col min="6966" max="6967" width="9.140625" style="2" bestFit="1" customWidth="1"/>
    <col min="6968" max="6968" width="9.140625" style="2" customWidth="1"/>
    <col min="6969" max="6969" width="9.140625" style="2" bestFit="1" customWidth="1"/>
    <col min="6970" max="6970" width="5.7109375" style="2" customWidth="1"/>
    <col min="6971" max="6971" width="7.85546875" style="2" customWidth="1"/>
    <col min="6972" max="6972" width="6.85546875" style="2" customWidth="1"/>
    <col min="6973" max="6973" width="4" style="2" customWidth="1"/>
    <col min="6974" max="6974" width="7" style="2" customWidth="1"/>
    <col min="6975" max="6975" width="7.85546875" style="2" customWidth="1"/>
    <col min="6976" max="6976" width="6.85546875" style="2" customWidth="1"/>
    <col min="6977" max="6977" width="7.140625" style="2" customWidth="1"/>
    <col min="6978" max="6978" width="9.5703125" style="2" customWidth="1"/>
    <col min="6979" max="6979" width="9.42578125" style="2" customWidth="1"/>
    <col min="6980" max="6980" width="9" style="2" customWidth="1"/>
    <col min="6981" max="6981" width="9.85546875" style="2" customWidth="1"/>
    <col min="6982" max="6982" width="5.42578125" style="2" customWidth="1"/>
    <col min="6983" max="7151" width="9.85546875" style="2"/>
    <col min="7152" max="7152" width="27.85546875" style="2" customWidth="1"/>
    <col min="7153" max="7153" width="5.7109375" style="2" customWidth="1"/>
    <col min="7154" max="7154" width="9.85546875" style="2" customWidth="1"/>
    <col min="7155" max="7155" width="9.140625" style="2" customWidth="1"/>
    <col min="7156" max="7161" width="9.140625" style="2" bestFit="1" customWidth="1"/>
    <col min="7162" max="7162" width="7.5703125" style="2" customWidth="1"/>
    <col min="7163" max="7163" width="8.7109375" style="2" customWidth="1"/>
    <col min="7164" max="7164" width="7.7109375" style="2" customWidth="1"/>
    <col min="7165" max="7165" width="9.140625" style="2" bestFit="1" customWidth="1"/>
    <col min="7166" max="7166" width="8" style="2" customWidth="1"/>
    <col min="7167" max="7167" width="8.42578125" style="2" bestFit="1" customWidth="1"/>
    <col min="7168" max="7168" width="6.5703125" style="2" bestFit="1" customWidth="1"/>
    <col min="7169" max="7169" width="10" style="2" customWidth="1"/>
    <col min="7170" max="7170" width="9.140625" style="2" customWidth="1"/>
    <col min="7171" max="7171" width="9" style="2" customWidth="1"/>
    <col min="7172" max="7172" width="10.42578125" style="2" customWidth="1"/>
    <col min="7173" max="7173" width="8.42578125" style="2" customWidth="1"/>
    <col min="7174" max="7174" width="9.5703125" style="2" customWidth="1"/>
    <col min="7175" max="7175" width="9.42578125" style="2" customWidth="1"/>
    <col min="7176" max="7176" width="8.5703125" style="2" customWidth="1"/>
    <col min="7177" max="7177" width="9.140625" style="2" customWidth="1"/>
    <col min="7178" max="7178" width="8.140625" style="2" customWidth="1"/>
    <col min="7179" max="7179" width="8.85546875" style="2" customWidth="1"/>
    <col min="7180" max="7180" width="8.140625" style="2" customWidth="1"/>
    <col min="7181" max="7181" width="8.85546875" style="2" customWidth="1"/>
    <col min="7182" max="7183" width="9.28515625" style="2" customWidth="1"/>
    <col min="7184" max="7184" width="8.42578125" style="2" customWidth="1"/>
    <col min="7185" max="7185" width="8.140625" style="2" customWidth="1"/>
    <col min="7186" max="7186" width="6" style="2" bestFit="1" customWidth="1"/>
    <col min="7187" max="7187" width="7.85546875" style="2" bestFit="1" customWidth="1"/>
    <col min="7188" max="7188" width="5.85546875" style="2" bestFit="1" customWidth="1"/>
    <col min="7189" max="7189" width="6.85546875" style="2" bestFit="1" customWidth="1"/>
    <col min="7190" max="7190" width="6" style="2" bestFit="1" customWidth="1"/>
    <col min="7191" max="7191" width="7.85546875" style="2" bestFit="1" customWidth="1"/>
    <col min="7192" max="7192" width="8.5703125" style="2" customWidth="1"/>
    <col min="7193" max="7193" width="6.85546875" style="2" bestFit="1" customWidth="1"/>
    <col min="7194" max="7194" width="7.5703125" style="2" customWidth="1"/>
    <col min="7195" max="7195" width="8.42578125" style="2" customWidth="1"/>
    <col min="7196" max="7196" width="8" style="2" customWidth="1"/>
    <col min="7197" max="7197" width="8.7109375" style="2" customWidth="1"/>
    <col min="7198" max="7198" width="9.42578125" style="2" customWidth="1"/>
    <col min="7199" max="7199" width="9.7109375" style="2" customWidth="1"/>
    <col min="7200" max="7200" width="10.28515625" style="2" customWidth="1"/>
    <col min="7201" max="7201" width="10" style="2" customWidth="1"/>
    <col min="7202" max="7203" width="8" style="2" customWidth="1"/>
    <col min="7204" max="7204" width="7.42578125" style="2" customWidth="1"/>
    <col min="7205" max="7205" width="7.85546875" style="2" customWidth="1"/>
    <col min="7206" max="7206" width="7.5703125" style="2" bestFit="1" customWidth="1"/>
    <col min="7207" max="7207" width="7.85546875" style="2" bestFit="1" customWidth="1"/>
    <col min="7208" max="7208" width="8.7109375" style="2" customWidth="1"/>
    <col min="7209" max="7209" width="9.42578125" style="2" customWidth="1"/>
    <col min="7210" max="7210" width="8.42578125" style="2" customWidth="1"/>
    <col min="7211" max="7211" width="8" style="2" customWidth="1"/>
    <col min="7212" max="7212" width="6.7109375" style="2" customWidth="1"/>
    <col min="7213" max="7213" width="8" style="2" customWidth="1"/>
    <col min="7214" max="7217" width="0" style="2" hidden="1" customWidth="1"/>
    <col min="7218" max="7218" width="8" style="2" customWidth="1"/>
    <col min="7219" max="7219" width="8.28515625" style="2" customWidth="1"/>
    <col min="7220" max="7220" width="8.42578125" style="2" customWidth="1"/>
    <col min="7221" max="7221" width="7.42578125" style="2" customWidth="1"/>
    <col min="7222" max="7223" width="9.140625" style="2" bestFit="1" customWidth="1"/>
    <col min="7224" max="7224" width="9.140625" style="2" customWidth="1"/>
    <col min="7225" max="7225" width="9.140625" style="2" bestFit="1" customWidth="1"/>
    <col min="7226" max="7226" width="5.7109375" style="2" customWidth="1"/>
    <col min="7227" max="7227" width="7.85546875" style="2" customWidth="1"/>
    <col min="7228" max="7228" width="6.85546875" style="2" customWidth="1"/>
    <col min="7229" max="7229" width="4" style="2" customWidth="1"/>
    <col min="7230" max="7230" width="7" style="2" customWidth="1"/>
    <col min="7231" max="7231" width="7.85546875" style="2" customWidth="1"/>
    <col min="7232" max="7232" width="6.85546875" style="2" customWidth="1"/>
    <col min="7233" max="7233" width="7.140625" style="2" customWidth="1"/>
    <col min="7234" max="7234" width="9.5703125" style="2" customWidth="1"/>
    <col min="7235" max="7235" width="9.42578125" style="2" customWidth="1"/>
    <col min="7236" max="7236" width="9" style="2" customWidth="1"/>
    <col min="7237" max="7237" width="9.85546875" style="2" customWidth="1"/>
    <col min="7238" max="7238" width="5.42578125" style="2" customWidth="1"/>
    <col min="7239" max="7407" width="9.85546875" style="2"/>
    <col min="7408" max="7408" width="27.85546875" style="2" customWidth="1"/>
    <col min="7409" max="7409" width="5.7109375" style="2" customWidth="1"/>
    <col min="7410" max="7410" width="9.85546875" style="2" customWidth="1"/>
    <col min="7411" max="7411" width="9.140625" style="2" customWidth="1"/>
    <col min="7412" max="7417" width="9.140625" style="2" bestFit="1" customWidth="1"/>
    <col min="7418" max="7418" width="7.5703125" style="2" customWidth="1"/>
    <col min="7419" max="7419" width="8.7109375" style="2" customWidth="1"/>
    <col min="7420" max="7420" width="7.7109375" style="2" customWidth="1"/>
    <col min="7421" max="7421" width="9.140625" style="2" bestFit="1" customWidth="1"/>
    <col min="7422" max="7422" width="8" style="2" customWidth="1"/>
    <col min="7423" max="7423" width="8.42578125" style="2" bestFit="1" customWidth="1"/>
    <col min="7424" max="7424" width="6.5703125" style="2" bestFit="1" customWidth="1"/>
    <col min="7425" max="7425" width="10" style="2" customWidth="1"/>
    <col min="7426" max="7426" width="9.140625" style="2" customWidth="1"/>
    <col min="7427" max="7427" width="9" style="2" customWidth="1"/>
    <col min="7428" max="7428" width="10.42578125" style="2" customWidth="1"/>
    <col min="7429" max="7429" width="8.42578125" style="2" customWidth="1"/>
    <col min="7430" max="7430" width="9.5703125" style="2" customWidth="1"/>
    <col min="7431" max="7431" width="9.42578125" style="2" customWidth="1"/>
    <col min="7432" max="7432" width="8.5703125" style="2" customWidth="1"/>
    <col min="7433" max="7433" width="9.140625" style="2" customWidth="1"/>
    <col min="7434" max="7434" width="8.140625" style="2" customWidth="1"/>
    <col min="7435" max="7435" width="8.85546875" style="2" customWidth="1"/>
    <col min="7436" max="7436" width="8.140625" style="2" customWidth="1"/>
    <col min="7437" max="7437" width="8.85546875" style="2" customWidth="1"/>
    <col min="7438" max="7439" width="9.28515625" style="2" customWidth="1"/>
    <col min="7440" max="7440" width="8.42578125" style="2" customWidth="1"/>
    <col min="7441" max="7441" width="8.140625" style="2" customWidth="1"/>
    <col min="7442" max="7442" width="6" style="2" bestFit="1" customWidth="1"/>
    <col min="7443" max="7443" width="7.85546875" style="2" bestFit="1" customWidth="1"/>
    <col min="7444" max="7444" width="5.85546875" style="2" bestFit="1" customWidth="1"/>
    <col min="7445" max="7445" width="6.85546875" style="2" bestFit="1" customWidth="1"/>
    <col min="7446" max="7446" width="6" style="2" bestFit="1" customWidth="1"/>
    <col min="7447" max="7447" width="7.85546875" style="2" bestFit="1" customWidth="1"/>
    <col min="7448" max="7448" width="8.5703125" style="2" customWidth="1"/>
    <col min="7449" max="7449" width="6.85546875" style="2" bestFit="1" customWidth="1"/>
    <col min="7450" max="7450" width="7.5703125" style="2" customWidth="1"/>
    <col min="7451" max="7451" width="8.42578125" style="2" customWidth="1"/>
    <col min="7452" max="7452" width="8" style="2" customWidth="1"/>
    <col min="7453" max="7453" width="8.7109375" style="2" customWidth="1"/>
    <col min="7454" max="7454" width="9.42578125" style="2" customWidth="1"/>
    <col min="7455" max="7455" width="9.7109375" style="2" customWidth="1"/>
    <col min="7456" max="7456" width="10.28515625" style="2" customWidth="1"/>
    <col min="7457" max="7457" width="10" style="2" customWidth="1"/>
    <col min="7458" max="7459" width="8" style="2" customWidth="1"/>
    <col min="7460" max="7460" width="7.42578125" style="2" customWidth="1"/>
    <col min="7461" max="7461" width="7.85546875" style="2" customWidth="1"/>
    <col min="7462" max="7462" width="7.5703125" style="2" bestFit="1" customWidth="1"/>
    <col min="7463" max="7463" width="7.85546875" style="2" bestFit="1" customWidth="1"/>
    <col min="7464" max="7464" width="8.7109375" style="2" customWidth="1"/>
    <col min="7465" max="7465" width="9.42578125" style="2" customWidth="1"/>
    <col min="7466" max="7466" width="8.42578125" style="2" customWidth="1"/>
    <col min="7467" max="7467" width="8" style="2" customWidth="1"/>
    <col min="7468" max="7468" width="6.7109375" style="2" customWidth="1"/>
    <col min="7469" max="7469" width="8" style="2" customWidth="1"/>
    <col min="7470" max="7473" width="0" style="2" hidden="1" customWidth="1"/>
    <col min="7474" max="7474" width="8" style="2" customWidth="1"/>
    <col min="7475" max="7475" width="8.28515625" style="2" customWidth="1"/>
    <col min="7476" max="7476" width="8.42578125" style="2" customWidth="1"/>
    <col min="7477" max="7477" width="7.42578125" style="2" customWidth="1"/>
    <col min="7478" max="7479" width="9.140625" style="2" bestFit="1" customWidth="1"/>
    <col min="7480" max="7480" width="9.140625" style="2" customWidth="1"/>
    <col min="7481" max="7481" width="9.140625" style="2" bestFit="1" customWidth="1"/>
    <col min="7482" max="7482" width="5.7109375" style="2" customWidth="1"/>
    <col min="7483" max="7483" width="7.85546875" style="2" customWidth="1"/>
    <col min="7484" max="7484" width="6.85546875" style="2" customWidth="1"/>
    <col min="7485" max="7485" width="4" style="2" customWidth="1"/>
    <col min="7486" max="7486" width="7" style="2" customWidth="1"/>
    <col min="7487" max="7487" width="7.85546875" style="2" customWidth="1"/>
    <col min="7488" max="7488" width="6.85546875" style="2" customWidth="1"/>
    <col min="7489" max="7489" width="7.140625" style="2" customWidth="1"/>
    <col min="7490" max="7490" width="9.5703125" style="2" customWidth="1"/>
    <col min="7491" max="7491" width="9.42578125" style="2" customWidth="1"/>
    <col min="7492" max="7492" width="9" style="2" customWidth="1"/>
    <col min="7493" max="7493" width="9.85546875" style="2" customWidth="1"/>
    <col min="7494" max="7494" width="5.42578125" style="2" customWidth="1"/>
    <col min="7495" max="7663" width="9.85546875" style="2"/>
    <col min="7664" max="7664" width="27.85546875" style="2" customWidth="1"/>
    <col min="7665" max="7665" width="5.7109375" style="2" customWidth="1"/>
    <col min="7666" max="7666" width="9.85546875" style="2" customWidth="1"/>
    <col min="7667" max="7667" width="9.140625" style="2" customWidth="1"/>
    <col min="7668" max="7673" width="9.140625" style="2" bestFit="1" customWidth="1"/>
    <col min="7674" max="7674" width="7.5703125" style="2" customWidth="1"/>
    <col min="7675" max="7675" width="8.7109375" style="2" customWidth="1"/>
    <col min="7676" max="7676" width="7.7109375" style="2" customWidth="1"/>
    <col min="7677" max="7677" width="9.140625" style="2" bestFit="1" customWidth="1"/>
    <col min="7678" max="7678" width="8" style="2" customWidth="1"/>
    <col min="7679" max="7679" width="8.42578125" style="2" bestFit="1" customWidth="1"/>
    <col min="7680" max="7680" width="6.5703125" style="2" bestFit="1" customWidth="1"/>
    <col min="7681" max="7681" width="10" style="2" customWidth="1"/>
    <col min="7682" max="7682" width="9.140625" style="2" customWidth="1"/>
    <col min="7683" max="7683" width="9" style="2" customWidth="1"/>
    <col min="7684" max="7684" width="10.42578125" style="2" customWidth="1"/>
    <col min="7685" max="7685" width="8.42578125" style="2" customWidth="1"/>
    <col min="7686" max="7686" width="9.5703125" style="2" customWidth="1"/>
    <col min="7687" max="7687" width="9.42578125" style="2" customWidth="1"/>
    <col min="7688" max="7688" width="8.5703125" style="2" customWidth="1"/>
    <col min="7689" max="7689" width="9.140625" style="2" customWidth="1"/>
    <col min="7690" max="7690" width="8.140625" style="2" customWidth="1"/>
    <col min="7691" max="7691" width="8.85546875" style="2" customWidth="1"/>
    <col min="7692" max="7692" width="8.140625" style="2" customWidth="1"/>
    <col min="7693" max="7693" width="8.85546875" style="2" customWidth="1"/>
    <col min="7694" max="7695" width="9.28515625" style="2" customWidth="1"/>
    <col min="7696" max="7696" width="8.42578125" style="2" customWidth="1"/>
    <col min="7697" max="7697" width="8.140625" style="2" customWidth="1"/>
    <col min="7698" max="7698" width="6" style="2" bestFit="1" customWidth="1"/>
    <col min="7699" max="7699" width="7.85546875" style="2" bestFit="1" customWidth="1"/>
    <col min="7700" max="7700" width="5.85546875" style="2" bestFit="1" customWidth="1"/>
    <col min="7701" max="7701" width="6.85546875" style="2" bestFit="1" customWidth="1"/>
    <col min="7702" max="7702" width="6" style="2" bestFit="1" customWidth="1"/>
    <col min="7703" max="7703" width="7.85546875" style="2" bestFit="1" customWidth="1"/>
    <col min="7704" max="7704" width="8.5703125" style="2" customWidth="1"/>
    <col min="7705" max="7705" width="6.85546875" style="2" bestFit="1" customWidth="1"/>
    <col min="7706" max="7706" width="7.5703125" style="2" customWidth="1"/>
    <col min="7707" max="7707" width="8.42578125" style="2" customWidth="1"/>
    <col min="7708" max="7708" width="8" style="2" customWidth="1"/>
    <col min="7709" max="7709" width="8.7109375" style="2" customWidth="1"/>
    <col min="7710" max="7710" width="9.42578125" style="2" customWidth="1"/>
    <col min="7711" max="7711" width="9.7109375" style="2" customWidth="1"/>
    <col min="7712" max="7712" width="10.28515625" style="2" customWidth="1"/>
    <col min="7713" max="7713" width="10" style="2" customWidth="1"/>
    <col min="7714" max="7715" width="8" style="2" customWidth="1"/>
    <col min="7716" max="7716" width="7.42578125" style="2" customWidth="1"/>
    <col min="7717" max="7717" width="7.85546875" style="2" customWidth="1"/>
    <col min="7718" max="7718" width="7.5703125" style="2" bestFit="1" customWidth="1"/>
    <col min="7719" max="7719" width="7.85546875" style="2" bestFit="1" customWidth="1"/>
    <col min="7720" max="7720" width="8.7109375" style="2" customWidth="1"/>
    <col min="7721" max="7721" width="9.42578125" style="2" customWidth="1"/>
    <col min="7722" max="7722" width="8.42578125" style="2" customWidth="1"/>
    <col min="7723" max="7723" width="8" style="2" customWidth="1"/>
    <col min="7724" max="7724" width="6.7109375" style="2" customWidth="1"/>
    <col min="7725" max="7725" width="8" style="2" customWidth="1"/>
    <col min="7726" max="7729" width="0" style="2" hidden="1" customWidth="1"/>
    <col min="7730" max="7730" width="8" style="2" customWidth="1"/>
    <col min="7731" max="7731" width="8.28515625" style="2" customWidth="1"/>
    <col min="7732" max="7732" width="8.42578125" style="2" customWidth="1"/>
    <col min="7733" max="7733" width="7.42578125" style="2" customWidth="1"/>
    <col min="7734" max="7735" width="9.140625" style="2" bestFit="1" customWidth="1"/>
    <col min="7736" max="7736" width="9.140625" style="2" customWidth="1"/>
    <col min="7737" max="7737" width="9.140625" style="2" bestFit="1" customWidth="1"/>
    <col min="7738" max="7738" width="5.7109375" style="2" customWidth="1"/>
    <col min="7739" max="7739" width="7.85546875" style="2" customWidth="1"/>
    <col min="7740" max="7740" width="6.85546875" style="2" customWidth="1"/>
    <col min="7741" max="7741" width="4" style="2" customWidth="1"/>
    <col min="7742" max="7742" width="7" style="2" customWidth="1"/>
    <col min="7743" max="7743" width="7.85546875" style="2" customWidth="1"/>
    <col min="7744" max="7744" width="6.85546875" style="2" customWidth="1"/>
    <col min="7745" max="7745" width="7.140625" style="2" customWidth="1"/>
    <col min="7746" max="7746" width="9.5703125" style="2" customWidth="1"/>
    <col min="7747" max="7747" width="9.42578125" style="2" customWidth="1"/>
    <col min="7748" max="7748" width="9" style="2" customWidth="1"/>
    <col min="7749" max="7749" width="9.85546875" style="2" customWidth="1"/>
    <col min="7750" max="7750" width="5.42578125" style="2" customWidth="1"/>
    <col min="7751" max="7919" width="9.85546875" style="2"/>
    <col min="7920" max="7920" width="27.85546875" style="2" customWidth="1"/>
    <col min="7921" max="7921" width="5.7109375" style="2" customWidth="1"/>
    <col min="7922" max="7922" width="9.85546875" style="2" customWidth="1"/>
    <col min="7923" max="7923" width="9.140625" style="2" customWidth="1"/>
    <col min="7924" max="7929" width="9.140625" style="2" bestFit="1" customWidth="1"/>
    <col min="7930" max="7930" width="7.5703125" style="2" customWidth="1"/>
    <col min="7931" max="7931" width="8.7109375" style="2" customWidth="1"/>
    <col min="7932" max="7932" width="7.7109375" style="2" customWidth="1"/>
    <col min="7933" max="7933" width="9.140625" style="2" bestFit="1" customWidth="1"/>
    <col min="7934" max="7934" width="8" style="2" customWidth="1"/>
    <col min="7935" max="7935" width="8.42578125" style="2" bestFit="1" customWidth="1"/>
    <col min="7936" max="7936" width="6.5703125" style="2" bestFit="1" customWidth="1"/>
    <col min="7937" max="7937" width="10" style="2" customWidth="1"/>
    <col min="7938" max="7938" width="9.140625" style="2" customWidth="1"/>
    <col min="7939" max="7939" width="9" style="2" customWidth="1"/>
    <col min="7940" max="7940" width="10.42578125" style="2" customWidth="1"/>
    <col min="7941" max="7941" width="8.42578125" style="2" customWidth="1"/>
    <col min="7942" max="7942" width="9.5703125" style="2" customWidth="1"/>
    <col min="7943" max="7943" width="9.42578125" style="2" customWidth="1"/>
    <col min="7944" max="7944" width="8.5703125" style="2" customWidth="1"/>
    <col min="7945" max="7945" width="9.140625" style="2" customWidth="1"/>
    <col min="7946" max="7946" width="8.140625" style="2" customWidth="1"/>
    <col min="7947" max="7947" width="8.85546875" style="2" customWidth="1"/>
    <col min="7948" max="7948" width="8.140625" style="2" customWidth="1"/>
    <col min="7949" max="7949" width="8.85546875" style="2" customWidth="1"/>
    <col min="7950" max="7951" width="9.28515625" style="2" customWidth="1"/>
    <col min="7952" max="7952" width="8.42578125" style="2" customWidth="1"/>
    <col min="7953" max="7953" width="8.140625" style="2" customWidth="1"/>
    <col min="7954" max="7954" width="6" style="2" bestFit="1" customWidth="1"/>
    <col min="7955" max="7955" width="7.85546875" style="2" bestFit="1" customWidth="1"/>
    <col min="7956" max="7956" width="5.85546875" style="2" bestFit="1" customWidth="1"/>
    <col min="7957" max="7957" width="6.85546875" style="2" bestFit="1" customWidth="1"/>
    <col min="7958" max="7958" width="6" style="2" bestFit="1" customWidth="1"/>
    <col min="7959" max="7959" width="7.85546875" style="2" bestFit="1" customWidth="1"/>
    <col min="7960" max="7960" width="8.5703125" style="2" customWidth="1"/>
    <col min="7961" max="7961" width="6.85546875" style="2" bestFit="1" customWidth="1"/>
    <col min="7962" max="7962" width="7.5703125" style="2" customWidth="1"/>
    <col min="7963" max="7963" width="8.42578125" style="2" customWidth="1"/>
    <col min="7964" max="7964" width="8" style="2" customWidth="1"/>
    <col min="7965" max="7965" width="8.7109375" style="2" customWidth="1"/>
    <col min="7966" max="7966" width="9.42578125" style="2" customWidth="1"/>
    <col min="7967" max="7967" width="9.7109375" style="2" customWidth="1"/>
    <col min="7968" max="7968" width="10.28515625" style="2" customWidth="1"/>
    <col min="7969" max="7969" width="10" style="2" customWidth="1"/>
    <col min="7970" max="7971" width="8" style="2" customWidth="1"/>
    <col min="7972" max="7972" width="7.42578125" style="2" customWidth="1"/>
    <col min="7973" max="7973" width="7.85546875" style="2" customWidth="1"/>
    <col min="7974" max="7974" width="7.5703125" style="2" bestFit="1" customWidth="1"/>
    <col min="7975" max="7975" width="7.85546875" style="2" bestFit="1" customWidth="1"/>
    <col min="7976" max="7976" width="8.7109375" style="2" customWidth="1"/>
    <col min="7977" max="7977" width="9.42578125" style="2" customWidth="1"/>
    <col min="7978" max="7978" width="8.42578125" style="2" customWidth="1"/>
    <col min="7979" max="7979" width="8" style="2" customWidth="1"/>
    <col min="7980" max="7980" width="6.7109375" style="2" customWidth="1"/>
    <col min="7981" max="7981" width="8" style="2" customWidth="1"/>
    <col min="7982" max="7985" width="0" style="2" hidden="1" customWidth="1"/>
    <col min="7986" max="7986" width="8" style="2" customWidth="1"/>
    <col min="7987" max="7987" width="8.28515625" style="2" customWidth="1"/>
    <col min="7988" max="7988" width="8.42578125" style="2" customWidth="1"/>
    <col min="7989" max="7989" width="7.42578125" style="2" customWidth="1"/>
    <col min="7990" max="7991" width="9.140625" style="2" bestFit="1" customWidth="1"/>
    <col min="7992" max="7992" width="9.140625" style="2" customWidth="1"/>
    <col min="7993" max="7993" width="9.140625" style="2" bestFit="1" customWidth="1"/>
    <col min="7994" max="7994" width="5.7109375" style="2" customWidth="1"/>
    <col min="7995" max="7995" width="7.85546875" style="2" customWidth="1"/>
    <col min="7996" max="7996" width="6.85546875" style="2" customWidth="1"/>
    <col min="7997" max="7997" width="4" style="2" customWidth="1"/>
    <col min="7998" max="7998" width="7" style="2" customWidth="1"/>
    <col min="7999" max="7999" width="7.85546875" style="2" customWidth="1"/>
    <col min="8000" max="8000" width="6.85546875" style="2" customWidth="1"/>
    <col min="8001" max="8001" width="7.140625" style="2" customWidth="1"/>
    <col min="8002" max="8002" width="9.5703125" style="2" customWidth="1"/>
    <col min="8003" max="8003" width="9.42578125" style="2" customWidth="1"/>
    <col min="8004" max="8004" width="9" style="2" customWidth="1"/>
    <col min="8005" max="8005" width="9.85546875" style="2" customWidth="1"/>
    <col min="8006" max="8006" width="5.42578125" style="2" customWidth="1"/>
    <col min="8007" max="8175" width="9.85546875" style="2"/>
    <col min="8176" max="8176" width="27.85546875" style="2" customWidth="1"/>
    <col min="8177" max="8177" width="5.7109375" style="2" customWidth="1"/>
    <col min="8178" max="8178" width="9.85546875" style="2" customWidth="1"/>
    <col min="8179" max="8179" width="9.140625" style="2" customWidth="1"/>
    <col min="8180" max="8185" width="9.140625" style="2" bestFit="1" customWidth="1"/>
    <col min="8186" max="8186" width="7.5703125" style="2" customWidth="1"/>
    <col min="8187" max="8187" width="8.7109375" style="2" customWidth="1"/>
    <col min="8188" max="8188" width="7.7109375" style="2" customWidth="1"/>
    <col min="8189" max="8189" width="9.140625" style="2" bestFit="1" customWidth="1"/>
    <col min="8190" max="8190" width="8" style="2" customWidth="1"/>
    <col min="8191" max="8191" width="8.42578125" style="2" bestFit="1" customWidth="1"/>
    <col min="8192" max="8192" width="6.5703125" style="2" bestFit="1" customWidth="1"/>
    <col min="8193" max="8193" width="10" style="2" customWidth="1"/>
    <col min="8194" max="8194" width="9.140625" style="2" customWidth="1"/>
    <col min="8195" max="8195" width="9" style="2" customWidth="1"/>
    <col min="8196" max="8196" width="10.42578125" style="2" customWidth="1"/>
    <col min="8197" max="8197" width="8.42578125" style="2" customWidth="1"/>
    <col min="8198" max="8198" width="9.5703125" style="2" customWidth="1"/>
    <col min="8199" max="8199" width="9.42578125" style="2" customWidth="1"/>
    <col min="8200" max="8200" width="8.5703125" style="2" customWidth="1"/>
    <col min="8201" max="8201" width="9.140625" style="2" customWidth="1"/>
    <col min="8202" max="8202" width="8.140625" style="2" customWidth="1"/>
    <col min="8203" max="8203" width="8.85546875" style="2" customWidth="1"/>
    <col min="8204" max="8204" width="8.140625" style="2" customWidth="1"/>
    <col min="8205" max="8205" width="8.85546875" style="2" customWidth="1"/>
    <col min="8206" max="8207" width="9.28515625" style="2" customWidth="1"/>
    <col min="8208" max="8208" width="8.42578125" style="2" customWidth="1"/>
    <col min="8209" max="8209" width="8.140625" style="2" customWidth="1"/>
    <col min="8210" max="8210" width="6" style="2" bestFit="1" customWidth="1"/>
    <col min="8211" max="8211" width="7.85546875" style="2" bestFit="1" customWidth="1"/>
    <col min="8212" max="8212" width="5.85546875" style="2" bestFit="1" customWidth="1"/>
    <col min="8213" max="8213" width="6.85546875" style="2" bestFit="1" customWidth="1"/>
    <col min="8214" max="8214" width="6" style="2" bestFit="1" customWidth="1"/>
    <col min="8215" max="8215" width="7.85546875" style="2" bestFit="1" customWidth="1"/>
    <col min="8216" max="8216" width="8.5703125" style="2" customWidth="1"/>
    <col min="8217" max="8217" width="6.85546875" style="2" bestFit="1" customWidth="1"/>
    <col min="8218" max="8218" width="7.5703125" style="2" customWidth="1"/>
    <col min="8219" max="8219" width="8.42578125" style="2" customWidth="1"/>
    <col min="8220" max="8220" width="8" style="2" customWidth="1"/>
    <col min="8221" max="8221" width="8.7109375" style="2" customWidth="1"/>
    <col min="8222" max="8222" width="9.42578125" style="2" customWidth="1"/>
    <col min="8223" max="8223" width="9.7109375" style="2" customWidth="1"/>
    <col min="8224" max="8224" width="10.28515625" style="2" customWidth="1"/>
    <col min="8225" max="8225" width="10" style="2" customWidth="1"/>
    <col min="8226" max="8227" width="8" style="2" customWidth="1"/>
    <col min="8228" max="8228" width="7.42578125" style="2" customWidth="1"/>
    <col min="8229" max="8229" width="7.85546875" style="2" customWidth="1"/>
    <col min="8230" max="8230" width="7.5703125" style="2" bestFit="1" customWidth="1"/>
    <col min="8231" max="8231" width="7.85546875" style="2" bestFit="1" customWidth="1"/>
    <col min="8232" max="8232" width="8.7109375" style="2" customWidth="1"/>
    <col min="8233" max="8233" width="9.42578125" style="2" customWidth="1"/>
    <col min="8234" max="8234" width="8.42578125" style="2" customWidth="1"/>
    <col min="8235" max="8235" width="8" style="2" customWidth="1"/>
    <col min="8236" max="8236" width="6.7109375" style="2" customWidth="1"/>
    <col min="8237" max="8237" width="8" style="2" customWidth="1"/>
    <col min="8238" max="8241" width="0" style="2" hidden="1" customWidth="1"/>
    <col min="8242" max="8242" width="8" style="2" customWidth="1"/>
    <col min="8243" max="8243" width="8.28515625" style="2" customWidth="1"/>
    <col min="8244" max="8244" width="8.42578125" style="2" customWidth="1"/>
    <col min="8245" max="8245" width="7.42578125" style="2" customWidth="1"/>
    <col min="8246" max="8247" width="9.140625" style="2" bestFit="1" customWidth="1"/>
    <col min="8248" max="8248" width="9.140625" style="2" customWidth="1"/>
    <col min="8249" max="8249" width="9.140625" style="2" bestFit="1" customWidth="1"/>
    <col min="8250" max="8250" width="5.7109375" style="2" customWidth="1"/>
    <col min="8251" max="8251" width="7.85546875" style="2" customWidth="1"/>
    <col min="8252" max="8252" width="6.85546875" style="2" customWidth="1"/>
    <col min="8253" max="8253" width="4" style="2" customWidth="1"/>
    <col min="8254" max="8254" width="7" style="2" customWidth="1"/>
    <col min="8255" max="8255" width="7.85546875" style="2" customWidth="1"/>
    <col min="8256" max="8256" width="6.85546875" style="2" customWidth="1"/>
    <col min="8257" max="8257" width="7.140625" style="2" customWidth="1"/>
    <col min="8258" max="8258" width="9.5703125" style="2" customWidth="1"/>
    <col min="8259" max="8259" width="9.42578125" style="2" customWidth="1"/>
    <col min="8260" max="8260" width="9" style="2" customWidth="1"/>
    <col min="8261" max="8261" width="9.85546875" style="2" customWidth="1"/>
    <col min="8262" max="8262" width="5.42578125" style="2" customWidth="1"/>
    <col min="8263" max="8431" width="9.85546875" style="2"/>
    <col min="8432" max="8432" width="27.85546875" style="2" customWidth="1"/>
    <col min="8433" max="8433" width="5.7109375" style="2" customWidth="1"/>
    <col min="8434" max="8434" width="9.85546875" style="2" customWidth="1"/>
    <col min="8435" max="8435" width="9.140625" style="2" customWidth="1"/>
    <col min="8436" max="8441" width="9.140625" style="2" bestFit="1" customWidth="1"/>
    <col min="8442" max="8442" width="7.5703125" style="2" customWidth="1"/>
    <col min="8443" max="8443" width="8.7109375" style="2" customWidth="1"/>
    <col min="8444" max="8444" width="7.7109375" style="2" customWidth="1"/>
    <col min="8445" max="8445" width="9.140625" style="2" bestFit="1" customWidth="1"/>
    <col min="8446" max="8446" width="8" style="2" customWidth="1"/>
    <col min="8447" max="8447" width="8.42578125" style="2" bestFit="1" customWidth="1"/>
    <col min="8448" max="8448" width="6.5703125" style="2" bestFit="1" customWidth="1"/>
    <col min="8449" max="8449" width="10" style="2" customWidth="1"/>
    <col min="8450" max="8450" width="9.140625" style="2" customWidth="1"/>
    <col min="8451" max="8451" width="9" style="2" customWidth="1"/>
    <col min="8452" max="8452" width="10.42578125" style="2" customWidth="1"/>
    <col min="8453" max="8453" width="8.42578125" style="2" customWidth="1"/>
    <col min="8454" max="8454" width="9.5703125" style="2" customWidth="1"/>
    <col min="8455" max="8455" width="9.42578125" style="2" customWidth="1"/>
    <col min="8456" max="8456" width="8.5703125" style="2" customWidth="1"/>
    <col min="8457" max="8457" width="9.140625" style="2" customWidth="1"/>
    <col min="8458" max="8458" width="8.140625" style="2" customWidth="1"/>
    <col min="8459" max="8459" width="8.85546875" style="2" customWidth="1"/>
    <col min="8460" max="8460" width="8.140625" style="2" customWidth="1"/>
    <col min="8461" max="8461" width="8.85546875" style="2" customWidth="1"/>
    <col min="8462" max="8463" width="9.28515625" style="2" customWidth="1"/>
    <col min="8464" max="8464" width="8.42578125" style="2" customWidth="1"/>
    <col min="8465" max="8465" width="8.140625" style="2" customWidth="1"/>
    <col min="8466" max="8466" width="6" style="2" bestFit="1" customWidth="1"/>
    <col min="8467" max="8467" width="7.85546875" style="2" bestFit="1" customWidth="1"/>
    <col min="8468" max="8468" width="5.85546875" style="2" bestFit="1" customWidth="1"/>
    <col min="8469" max="8469" width="6.85546875" style="2" bestFit="1" customWidth="1"/>
    <col min="8470" max="8470" width="6" style="2" bestFit="1" customWidth="1"/>
    <col min="8471" max="8471" width="7.85546875" style="2" bestFit="1" customWidth="1"/>
    <col min="8472" max="8472" width="8.5703125" style="2" customWidth="1"/>
    <col min="8473" max="8473" width="6.85546875" style="2" bestFit="1" customWidth="1"/>
    <col min="8474" max="8474" width="7.5703125" style="2" customWidth="1"/>
    <col min="8475" max="8475" width="8.42578125" style="2" customWidth="1"/>
    <col min="8476" max="8476" width="8" style="2" customWidth="1"/>
    <col min="8477" max="8477" width="8.7109375" style="2" customWidth="1"/>
    <col min="8478" max="8478" width="9.42578125" style="2" customWidth="1"/>
    <col min="8479" max="8479" width="9.7109375" style="2" customWidth="1"/>
    <col min="8480" max="8480" width="10.28515625" style="2" customWidth="1"/>
    <col min="8481" max="8481" width="10" style="2" customWidth="1"/>
    <col min="8482" max="8483" width="8" style="2" customWidth="1"/>
    <col min="8484" max="8484" width="7.42578125" style="2" customWidth="1"/>
    <col min="8485" max="8485" width="7.85546875" style="2" customWidth="1"/>
    <col min="8486" max="8486" width="7.5703125" style="2" bestFit="1" customWidth="1"/>
    <col min="8487" max="8487" width="7.85546875" style="2" bestFit="1" customWidth="1"/>
    <col min="8488" max="8488" width="8.7109375" style="2" customWidth="1"/>
    <col min="8489" max="8489" width="9.42578125" style="2" customWidth="1"/>
    <col min="8490" max="8490" width="8.42578125" style="2" customWidth="1"/>
    <col min="8491" max="8491" width="8" style="2" customWidth="1"/>
    <col min="8492" max="8492" width="6.7109375" style="2" customWidth="1"/>
    <col min="8493" max="8493" width="8" style="2" customWidth="1"/>
    <col min="8494" max="8497" width="0" style="2" hidden="1" customWidth="1"/>
    <col min="8498" max="8498" width="8" style="2" customWidth="1"/>
    <col min="8499" max="8499" width="8.28515625" style="2" customWidth="1"/>
    <col min="8500" max="8500" width="8.42578125" style="2" customWidth="1"/>
    <col min="8501" max="8501" width="7.42578125" style="2" customWidth="1"/>
    <col min="8502" max="8503" width="9.140625" style="2" bestFit="1" customWidth="1"/>
    <col min="8504" max="8504" width="9.140625" style="2" customWidth="1"/>
    <col min="8505" max="8505" width="9.140625" style="2" bestFit="1" customWidth="1"/>
    <col min="8506" max="8506" width="5.7109375" style="2" customWidth="1"/>
    <col min="8507" max="8507" width="7.85546875" style="2" customWidth="1"/>
    <col min="8508" max="8508" width="6.85546875" style="2" customWidth="1"/>
    <col min="8509" max="8509" width="4" style="2" customWidth="1"/>
    <col min="8510" max="8510" width="7" style="2" customWidth="1"/>
    <col min="8511" max="8511" width="7.85546875" style="2" customWidth="1"/>
    <col min="8512" max="8512" width="6.85546875" style="2" customWidth="1"/>
    <col min="8513" max="8513" width="7.140625" style="2" customWidth="1"/>
    <col min="8514" max="8514" width="9.5703125" style="2" customWidth="1"/>
    <col min="8515" max="8515" width="9.42578125" style="2" customWidth="1"/>
    <col min="8516" max="8516" width="9" style="2" customWidth="1"/>
    <col min="8517" max="8517" width="9.85546875" style="2" customWidth="1"/>
    <col min="8518" max="8518" width="5.42578125" style="2" customWidth="1"/>
    <col min="8519" max="8687" width="9.85546875" style="2"/>
    <col min="8688" max="8688" width="27.85546875" style="2" customWidth="1"/>
    <col min="8689" max="8689" width="5.7109375" style="2" customWidth="1"/>
    <col min="8690" max="8690" width="9.85546875" style="2" customWidth="1"/>
    <col min="8691" max="8691" width="9.140625" style="2" customWidth="1"/>
    <col min="8692" max="8697" width="9.140625" style="2" bestFit="1" customWidth="1"/>
    <col min="8698" max="8698" width="7.5703125" style="2" customWidth="1"/>
    <col min="8699" max="8699" width="8.7109375" style="2" customWidth="1"/>
    <col min="8700" max="8700" width="7.7109375" style="2" customWidth="1"/>
    <col min="8701" max="8701" width="9.140625" style="2" bestFit="1" customWidth="1"/>
    <col min="8702" max="8702" width="8" style="2" customWidth="1"/>
    <col min="8703" max="8703" width="8.42578125" style="2" bestFit="1" customWidth="1"/>
    <col min="8704" max="8704" width="6.5703125" style="2" bestFit="1" customWidth="1"/>
    <col min="8705" max="8705" width="10" style="2" customWidth="1"/>
    <col min="8706" max="8706" width="9.140625" style="2" customWidth="1"/>
    <col min="8707" max="8707" width="9" style="2" customWidth="1"/>
    <col min="8708" max="8708" width="10.42578125" style="2" customWidth="1"/>
    <col min="8709" max="8709" width="8.42578125" style="2" customWidth="1"/>
    <col min="8710" max="8710" width="9.5703125" style="2" customWidth="1"/>
    <col min="8711" max="8711" width="9.42578125" style="2" customWidth="1"/>
    <col min="8712" max="8712" width="8.5703125" style="2" customWidth="1"/>
    <col min="8713" max="8713" width="9.140625" style="2" customWidth="1"/>
    <col min="8714" max="8714" width="8.140625" style="2" customWidth="1"/>
    <col min="8715" max="8715" width="8.85546875" style="2" customWidth="1"/>
    <col min="8716" max="8716" width="8.140625" style="2" customWidth="1"/>
    <col min="8717" max="8717" width="8.85546875" style="2" customWidth="1"/>
    <col min="8718" max="8719" width="9.28515625" style="2" customWidth="1"/>
    <col min="8720" max="8720" width="8.42578125" style="2" customWidth="1"/>
    <col min="8721" max="8721" width="8.140625" style="2" customWidth="1"/>
    <col min="8722" max="8722" width="6" style="2" bestFit="1" customWidth="1"/>
    <col min="8723" max="8723" width="7.85546875" style="2" bestFit="1" customWidth="1"/>
    <col min="8724" max="8724" width="5.85546875" style="2" bestFit="1" customWidth="1"/>
    <col min="8725" max="8725" width="6.85546875" style="2" bestFit="1" customWidth="1"/>
    <col min="8726" max="8726" width="6" style="2" bestFit="1" customWidth="1"/>
    <col min="8727" max="8727" width="7.85546875" style="2" bestFit="1" customWidth="1"/>
    <col min="8728" max="8728" width="8.5703125" style="2" customWidth="1"/>
    <col min="8729" max="8729" width="6.85546875" style="2" bestFit="1" customWidth="1"/>
    <col min="8730" max="8730" width="7.5703125" style="2" customWidth="1"/>
    <col min="8731" max="8731" width="8.42578125" style="2" customWidth="1"/>
    <col min="8732" max="8732" width="8" style="2" customWidth="1"/>
    <col min="8733" max="8733" width="8.7109375" style="2" customWidth="1"/>
    <col min="8734" max="8734" width="9.42578125" style="2" customWidth="1"/>
    <col min="8735" max="8735" width="9.7109375" style="2" customWidth="1"/>
    <col min="8736" max="8736" width="10.28515625" style="2" customWidth="1"/>
    <col min="8737" max="8737" width="10" style="2" customWidth="1"/>
    <col min="8738" max="8739" width="8" style="2" customWidth="1"/>
    <col min="8740" max="8740" width="7.42578125" style="2" customWidth="1"/>
    <col min="8741" max="8741" width="7.85546875" style="2" customWidth="1"/>
    <col min="8742" max="8742" width="7.5703125" style="2" bestFit="1" customWidth="1"/>
    <col min="8743" max="8743" width="7.85546875" style="2" bestFit="1" customWidth="1"/>
    <col min="8744" max="8744" width="8.7109375" style="2" customWidth="1"/>
    <col min="8745" max="8745" width="9.42578125" style="2" customWidth="1"/>
    <col min="8746" max="8746" width="8.42578125" style="2" customWidth="1"/>
    <col min="8747" max="8747" width="8" style="2" customWidth="1"/>
    <col min="8748" max="8748" width="6.7109375" style="2" customWidth="1"/>
    <col min="8749" max="8749" width="8" style="2" customWidth="1"/>
    <col min="8750" max="8753" width="0" style="2" hidden="1" customWidth="1"/>
    <col min="8754" max="8754" width="8" style="2" customWidth="1"/>
    <col min="8755" max="8755" width="8.28515625" style="2" customWidth="1"/>
    <col min="8756" max="8756" width="8.42578125" style="2" customWidth="1"/>
    <col min="8757" max="8757" width="7.42578125" style="2" customWidth="1"/>
    <col min="8758" max="8759" width="9.140625" style="2" bestFit="1" customWidth="1"/>
    <col min="8760" max="8760" width="9.140625" style="2" customWidth="1"/>
    <col min="8761" max="8761" width="9.140625" style="2" bestFit="1" customWidth="1"/>
    <col min="8762" max="8762" width="5.7109375" style="2" customWidth="1"/>
    <col min="8763" max="8763" width="7.85546875" style="2" customWidth="1"/>
    <col min="8764" max="8764" width="6.85546875" style="2" customWidth="1"/>
    <col min="8765" max="8765" width="4" style="2" customWidth="1"/>
    <col min="8766" max="8766" width="7" style="2" customWidth="1"/>
    <col min="8767" max="8767" width="7.85546875" style="2" customWidth="1"/>
    <col min="8768" max="8768" width="6.85546875" style="2" customWidth="1"/>
    <col min="8769" max="8769" width="7.140625" style="2" customWidth="1"/>
    <col min="8770" max="8770" width="9.5703125" style="2" customWidth="1"/>
    <col min="8771" max="8771" width="9.42578125" style="2" customWidth="1"/>
    <col min="8772" max="8772" width="9" style="2" customWidth="1"/>
    <col min="8773" max="8773" width="9.85546875" style="2" customWidth="1"/>
    <col min="8774" max="8774" width="5.42578125" style="2" customWidth="1"/>
    <col min="8775" max="8943" width="9.85546875" style="2"/>
    <col min="8944" max="8944" width="27.85546875" style="2" customWidth="1"/>
    <col min="8945" max="8945" width="5.7109375" style="2" customWidth="1"/>
    <col min="8946" max="8946" width="9.85546875" style="2" customWidth="1"/>
    <col min="8947" max="8947" width="9.140625" style="2" customWidth="1"/>
    <col min="8948" max="8953" width="9.140625" style="2" bestFit="1" customWidth="1"/>
    <col min="8954" max="8954" width="7.5703125" style="2" customWidth="1"/>
    <col min="8955" max="8955" width="8.7109375" style="2" customWidth="1"/>
    <col min="8956" max="8956" width="7.7109375" style="2" customWidth="1"/>
    <col min="8957" max="8957" width="9.140625" style="2" bestFit="1" customWidth="1"/>
    <col min="8958" max="8958" width="8" style="2" customWidth="1"/>
    <col min="8959" max="8959" width="8.42578125" style="2" bestFit="1" customWidth="1"/>
    <col min="8960" max="8960" width="6.5703125" style="2" bestFit="1" customWidth="1"/>
    <col min="8961" max="8961" width="10" style="2" customWidth="1"/>
    <col min="8962" max="8962" width="9.140625" style="2" customWidth="1"/>
    <col min="8963" max="8963" width="9" style="2" customWidth="1"/>
    <col min="8964" max="8964" width="10.42578125" style="2" customWidth="1"/>
    <col min="8965" max="8965" width="8.42578125" style="2" customWidth="1"/>
    <col min="8966" max="8966" width="9.5703125" style="2" customWidth="1"/>
    <col min="8967" max="8967" width="9.42578125" style="2" customWidth="1"/>
    <col min="8968" max="8968" width="8.5703125" style="2" customWidth="1"/>
    <col min="8969" max="8969" width="9.140625" style="2" customWidth="1"/>
    <col min="8970" max="8970" width="8.140625" style="2" customWidth="1"/>
    <col min="8971" max="8971" width="8.85546875" style="2" customWidth="1"/>
    <col min="8972" max="8972" width="8.140625" style="2" customWidth="1"/>
    <col min="8973" max="8973" width="8.85546875" style="2" customWidth="1"/>
    <col min="8974" max="8975" width="9.28515625" style="2" customWidth="1"/>
    <col min="8976" max="8976" width="8.42578125" style="2" customWidth="1"/>
    <col min="8977" max="8977" width="8.140625" style="2" customWidth="1"/>
    <col min="8978" max="8978" width="6" style="2" bestFit="1" customWidth="1"/>
    <col min="8979" max="8979" width="7.85546875" style="2" bestFit="1" customWidth="1"/>
    <col min="8980" max="8980" width="5.85546875" style="2" bestFit="1" customWidth="1"/>
    <col min="8981" max="8981" width="6.85546875" style="2" bestFit="1" customWidth="1"/>
    <col min="8982" max="8982" width="6" style="2" bestFit="1" customWidth="1"/>
    <col min="8983" max="8983" width="7.85546875" style="2" bestFit="1" customWidth="1"/>
    <col min="8984" max="8984" width="8.5703125" style="2" customWidth="1"/>
    <col min="8985" max="8985" width="6.85546875" style="2" bestFit="1" customWidth="1"/>
    <col min="8986" max="8986" width="7.5703125" style="2" customWidth="1"/>
    <col min="8987" max="8987" width="8.42578125" style="2" customWidth="1"/>
    <col min="8988" max="8988" width="8" style="2" customWidth="1"/>
    <col min="8989" max="8989" width="8.7109375" style="2" customWidth="1"/>
    <col min="8990" max="8990" width="9.42578125" style="2" customWidth="1"/>
    <col min="8991" max="8991" width="9.7109375" style="2" customWidth="1"/>
    <col min="8992" max="8992" width="10.28515625" style="2" customWidth="1"/>
    <col min="8993" max="8993" width="10" style="2" customWidth="1"/>
    <col min="8994" max="8995" width="8" style="2" customWidth="1"/>
    <col min="8996" max="8996" width="7.42578125" style="2" customWidth="1"/>
    <col min="8997" max="8997" width="7.85546875" style="2" customWidth="1"/>
    <col min="8998" max="8998" width="7.5703125" style="2" bestFit="1" customWidth="1"/>
    <col min="8999" max="8999" width="7.85546875" style="2" bestFit="1" customWidth="1"/>
    <col min="9000" max="9000" width="8.7109375" style="2" customWidth="1"/>
    <col min="9001" max="9001" width="9.42578125" style="2" customWidth="1"/>
    <col min="9002" max="9002" width="8.42578125" style="2" customWidth="1"/>
    <col min="9003" max="9003" width="8" style="2" customWidth="1"/>
    <col min="9004" max="9004" width="6.7109375" style="2" customWidth="1"/>
    <col min="9005" max="9005" width="8" style="2" customWidth="1"/>
    <col min="9006" max="9009" width="0" style="2" hidden="1" customWidth="1"/>
    <col min="9010" max="9010" width="8" style="2" customWidth="1"/>
    <col min="9011" max="9011" width="8.28515625" style="2" customWidth="1"/>
    <col min="9012" max="9012" width="8.42578125" style="2" customWidth="1"/>
    <col min="9013" max="9013" width="7.42578125" style="2" customWidth="1"/>
    <col min="9014" max="9015" width="9.140625" style="2" bestFit="1" customWidth="1"/>
    <col min="9016" max="9016" width="9.140625" style="2" customWidth="1"/>
    <col min="9017" max="9017" width="9.140625" style="2" bestFit="1" customWidth="1"/>
    <col min="9018" max="9018" width="5.7109375" style="2" customWidth="1"/>
    <col min="9019" max="9019" width="7.85546875" style="2" customWidth="1"/>
    <col min="9020" max="9020" width="6.85546875" style="2" customWidth="1"/>
    <col min="9021" max="9021" width="4" style="2" customWidth="1"/>
    <col min="9022" max="9022" width="7" style="2" customWidth="1"/>
    <col min="9023" max="9023" width="7.85546875" style="2" customWidth="1"/>
    <col min="9024" max="9024" width="6.85546875" style="2" customWidth="1"/>
    <col min="9025" max="9025" width="7.140625" style="2" customWidth="1"/>
    <col min="9026" max="9026" width="9.5703125" style="2" customWidth="1"/>
    <col min="9027" max="9027" width="9.42578125" style="2" customWidth="1"/>
    <col min="9028" max="9028" width="9" style="2" customWidth="1"/>
    <col min="9029" max="9029" width="9.85546875" style="2" customWidth="1"/>
    <col min="9030" max="9030" width="5.42578125" style="2" customWidth="1"/>
    <col min="9031" max="9199" width="9.85546875" style="2"/>
    <col min="9200" max="9200" width="27.85546875" style="2" customWidth="1"/>
    <col min="9201" max="9201" width="5.7109375" style="2" customWidth="1"/>
    <col min="9202" max="9202" width="9.85546875" style="2" customWidth="1"/>
    <col min="9203" max="9203" width="9.140625" style="2" customWidth="1"/>
    <col min="9204" max="9209" width="9.140625" style="2" bestFit="1" customWidth="1"/>
    <col min="9210" max="9210" width="7.5703125" style="2" customWidth="1"/>
    <col min="9211" max="9211" width="8.7109375" style="2" customWidth="1"/>
    <col min="9212" max="9212" width="7.7109375" style="2" customWidth="1"/>
    <col min="9213" max="9213" width="9.140625" style="2" bestFit="1" customWidth="1"/>
    <col min="9214" max="9214" width="8" style="2" customWidth="1"/>
    <col min="9215" max="9215" width="8.42578125" style="2" bestFit="1" customWidth="1"/>
    <col min="9216" max="9216" width="6.5703125" style="2" bestFit="1" customWidth="1"/>
    <col min="9217" max="9217" width="10" style="2" customWidth="1"/>
    <col min="9218" max="9218" width="9.140625" style="2" customWidth="1"/>
    <col min="9219" max="9219" width="9" style="2" customWidth="1"/>
    <col min="9220" max="9220" width="10.42578125" style="2" customWidth="1"/>
    <col min="9221" max="9221" width="8.42578125" style="2" customWidth="1"/>
    <col min="9222" max="9222" width="9.5703125" style="2" customWidth="1"/>
    <col min="9223" max="9223" width="9.42578125" style="2" customWidth="1"/>
    <col min="9224" max="9224" width="8.5703125" style="2" customWidth="1"/>
    <col min="9225" max="9225" width="9.140625" style="2" customWidth="1"/>
    <col min="9226" max="9226" width="8.140625" style="2" customWidth="1"/>
    <col min="9227" max="9227" width="8.85546875" style="2" customWidth="1"/>
    <col min="9228" max="9228" width="8.140625" style="2" customWidth="1"/>
    <col min="9229" max="9229" width="8.85546875" style="2" customWidth="1"/>
    <col min="9230" max="9231" width="9.28515625" style="2" customWidth="1"/>
    <col min="9232" max="9232" width="8.42578125" style="2" customWidth="1"/>
    <col min="9233" max="9233" width="8.140625" style="2" customWidth="1"/>
    <col min="9234" max="9234" width="6" style="2" bestFit="1" customWidth="1"/>
    <col min="9235" max="9235" width="7.85546875" style="2" bestFit="1" customWidth="1"/>
    <col min="9236" max="9236" width="5.85546875" style="2" bestFit="1" customWidth="1"/>
    <col min="9237" max="9237" width="6.85546875" style="2" bestFit="1" customWidth="1"/>
    <col min="9238" max="9238" width="6" style="2" bestFit="1" customWidth="1"/>
    <col min="9239" max="9239" width="7.85546875" style="2" bestFit="1" customWidth="1"/>
    <col min="9240" max="9240" width="8.5703125" style="2" customWidth="1"/>
    <col min="9241" max="9241" width="6.85546875" style="2" bestFit="1" customWidth="1"/>
    <col min="9242" max="9242" width="7.5703125" style="2" customWidth="1"/>
    <col min="9243" max="9243" width="8.42578125" style="2" customWidth="1"/>
    <col min="9244" max="9244" width="8" style="2" customWidth="1"/>
    <col min="9245" max="9245" width="8.7109375" style="2" customWidth="1"/>
    <col min="9246" max="9246" width="9.42578125" style="2" customWidth="1"/>
    <col min="9247" max="9247" width="9.7109375" style="2" customWidth="1"/>
    <col min="9248" max="9248" width="10.28515625" style="2" customWidth="1"/>
    <col min="9249" max="9249" width="10" style="2" customWidth="1"/>
    <col min="9250" max="9251" width="8" style="2" customWidth="1"/>
    <col min="9252" max="9252" width="7.42578125" style="2" customWidth="1"/>
    <col min="9253" max="9253" width="7.85546875" style="2" customWidth="1"/>
    <col min="9254" max="9254" width="7.5703125" style="2" bestFit="1" customWidth="1"/>
    <col min="9255" max="9255" width="7.85546875" style="2" bestFit="1" customWidth="1"/>
    <col min="9256" max="9256" width="8.7109375" style="2" customWidth="1"/>
    <col min="9257" max="9257" width="9.42578125" style="2" customWidth="1"/>
    <col min="9258" max="9258" width="8.42578125" style="2" customWidth="1"/>
    <col min="9259" max="9259" width="8" style="2" customWidth="1"/>
    <col min="9260" max="9260" width="6.7109375" style="2" customWidth="1"/>
    <col min="9261" max="9261" width="8" style="2" customWidth="1"/>
    <col min="9262" max="9265" width="0" style="2" hidden="1" customWidth="1"/>
    <col min="9266" max="9266" width="8" style="2" customWidth="1"/>
    <col min="9267" max="9267" width="8.28515625" style="2" customWidth="1"/>
    <col min="9268" max="9268" width="8.42578125" style="2" customWidth="1"/>
    <col min="9269" max="9269" width="7.42578125" style="2" customWidth="1"/>
    <col min="9270" max="9271" width="9.140625" style="2" bestFit="1" customWidth="1"/>
    <col min="9272" max="9272" width="9.140625" style="2" customWidth="1"/>
    <col min="9273" max="9273" width="9.140625" style="2" bestFit="1" customWidth="1"/>
    <col min="9274" max="9274" width="5.7109375" style="2" customWidth="1"/>
    <col min="9275" max="9275" width="7.85546875" style="2" customWidth="1"/>
    <col min="9276" max="9276" width="6.85546875" style="2" customWidth="1"/>
    <col min="9277" max="9277" width="4" style="2" customWidth="1"/>
    <col min="9278" max="9278" width="7" style="2" customWidth="1"/>
    <col min="9279" max="9279" width="7.85546875" style="2" customWidth="1"/>
    <col min="9280" max="9280" width="6.85546875" style="2" customWidth="1"/>
    <col min="9281" max="9281" width="7.140625" style="2" customWidth="1"/>
    <col min="9282" max="9282" width="9.5703125" style="2" customWidth="1"/>
    <col min="9283" max="9283" width="9.42578125" style="2" customWidth="1"/>
    <col min="9284" max="9284" width="9" style="2" customWidth="1"/>
    <col min="9285" max="9285" width="9.85546875" style="2" customWidth="1"/>
    <col min="9286" max="9286" width="5.42578125" style="2" customWidth="1"/>
    <col min="9287" max="9455" width="9.85546875" style="2"/>
    <col min="9456" max="9456" width="27.85546875" style="2" customWidth="1"/>
    <col min="9457" max="9457" width="5.7109375" style="2" customWidth="1"/>
    <col min="9458" max="9458" width="9.85546875" style="2" customWidth="1"/>
    <col min="9459" max="9459" width="9.140625" style="2" customWidth="1"/>
    <col min="9460" max="9465" width="9.140625" style="2" bestFit="1" customWidth="1"/>
    <col min="9466" max="9466" width="7.5703125" style="2" customWidth="1"/>
    <col min="9467" max="9467" width="8.7109375" style="2" customWidth="1"/>
    <col min="9468" max="9468" width="7.7109375" style="2" customWidth="1"/>
    <col min="9469" max="9469" width="9.140625" style="2" bestFit="1" customWidth="1"/>
    <col min="9470" max="9470" width="8" style="2" customWidth="1"/>
    <col min="9471" max="9471" width="8.42578125" style="2" bestFit="1" customWidth="1"/>
    <col min="9472" max="9472" width="6.5703125" style="2" bestFit="1" customWidth="1"/>
    <col min="9473" max="9473" width="10" style="2" customWidth="1"/>
    <col min="9474" max="9474" width="9.140625" style="2" customWidth="1"/>
    <col min="9475" max="9475" width="9" style="2" customWidth="1"/>
    <col min="9476" max="9476" width="10.42578125" style="2" customWidth="1"/>
    <col min="9477" max="9477" width="8.42578125" style="2" customWidth="1"/>
    <col min="9478" max="9478" width="9.5703125" style="2" customWidth="1"/>
    <col min="9479" max="9479" width="9.42578125" style="2" customWidth="1"/>
    <col min="9480" max="9480" width="8.5703125" style="2" customWidth="1"/>
    <col min="9481" max="9481" width="9.140625" style="2" customWidth="1"/>
    <col min="9482" max="9482" width="8.140625" style="2" customWidth="1"/>
    <col min="9483" max="9483" width="8.85546875" style="2" customWidth="1"/>
    <col min="9484" max="9484" width="8.140625" style="2" customWidth="1"/>
    <col min="9485" max="9485" width="8.85546875" style="2" customWidth="1"/>
    <col min="9486" max="9487" width="9.28515625" style="2" customWidth="1"/>
    <col min="9488" max="9488" width="8.42578125" style="2" customWidth="1"/>
    <col min="9489" max="9489" width="8.140625" style="2" customWidth="1"/>
    <col min="9490" max="9490" width="6" style="2" bestFit="1" customWidth="1"/>
    <col min="9491" max="9491" width="7.85546875" style="2" bestFit="1" customWidth="1"/>
    <col min="9492" max="9492" width="5.85546875" style="2" bestFit="1" customWidth="1"/>
    <col min="9493" max="9493" width="6.85546875" style="2" bestFit="1" customWidth="1"/>
    <col min="9494" max="9494" width="6" style="2" bestFit="1" customWidth="1"/>
    <col min="9495" max="9495" width="7.85546875" style="2" bestFit="1" customWidth="1"/>
    <col min="9496" max="9496" width="8.5703125" style="2" customWidth="1"/>
    <col min="9497" max="9497" width="6.85546875" style="2" bestFit="1" customWidth="1"/>
    <col min="9498" max="9498" width="7.5703125" style="2" customWidth="1"/>
    <col min="9499" max="9499" width="8.42578125" style="2" customWidth="1"/>
    <col min="9500" max="9500" width="8" style="2" customWidth="1"/>
    <col min="9501" max="9501" width="8.7109375" style="2" customWidth="1"/>
    <col min="9502" max="9502" width="9.42578125" style="2" customWidth="1"/>
    <col min="9503" max="9503" width="9.7109375" style="2" customWidth="1"/>
    <col min="9504" max="9504" width="10.28515625" style="2" customWidth="1"/>
    <col min="9505" max="9505" width="10" style="2" customWidth="1"/>
    <col min="9506" max="9507" width="8" style="2" customWidth="1"/>
    <col min="9508" max="9508" width="7.42578125" style="2" customWidth="1"/>
    <col min="9509" max="9509" width="7.85546875" style="2" customWidth="1"/>
    <col min="9510" max="9510" width="7.5703125" style="2" bestFit="1" customWidth="1"/>
    <col min="9511" max="9511" width="7.85546875" style="2" bestFit="1" customWidth="1"/>
    <col min="9512" max="9512" width="8.7109375" style="2" customWidth="1"/>
    <col min="9513" max="9513" width="9.42578125" style="2" customWidth="1"/>
    <col min="9514" max="9514" width="8.42578125" style="2" customWidth="1"/>
    <col min="9515" max="9515" width="8" style="2" customWidth="1"/>
    <col min="9516" max="9516" width="6.7109375" style="2" customWidth="1"/>
    <col min="9517" max="9517" width="8" style="2" customWidth="1"/>
    <col min="9518" max="9521" width="0" style="2" hidden="1" customWidth="1"/>
    <col min="9522" max="9522" width="8" style="2" customWidth="1"/>
    <col min="9523" max="9523" width="8.28515625" style="2" customWidth="1"/>
    <col min="9524" max="9524" width="8.42578125" style="2" customWidth="1"/>
    <col min="9525" max="9525" width="7.42578125" style="2" customWidth="1"/>
    <col min="9526" max="9527" width="9.140625" style="2" bestFit="1" customWidth="1"/>
    <col min="9528" max="9528" width="9.140625" style="2" customWidth="1"/>
    <col min="9529" max="9529" width="9.140625" style="2" bestFit="1" customWidth="1"/>
    <col min="9530" max="9530" width="5.7109375" style="2" customWidth="1"/>
    <col min="9531" max="9531" width="7.85546875" style="2" customWidth="1"/>
    <col min="9532" max="9532" width="6.85546875" style="2" customWidth="1"/>
    <col min="9533" max="9533" width="4" style="2" customWidth="1"/>
    <col min="9534" max="9534" width="7" style="2" customWidth="1"/>
    <col min="9535" max="9535" width="7.85546875" style="2" customWidth="1"/>
    <col min="9536" max="9536" width="6.85546875" style="2" customWidth="1"/>
    <col min="9537" max="9537" width="7.140625" style="2" customWidth="1"/>
    <col min="9538" max="9538" width="9.5703125" style="2" customWidth="1"/>
    <col min="9539" max="9539" width="9.42578125" style="2" customWidth="1"/>
    <col min="9540" max="9540" width="9" style="2" customWidth="1"/>
    <col min="9541" max="9541" width="9.85546875" style="2" customWidth="1"/>
    <col min="9542" max="9542" width="5.42578125" style="2" customWidth="1"/>
    <col min="9543" max="9711" width="9.85546875" style="2"/>
    <col min="9712" max="9712" width="27.85546875" style="2" customWidth="1"/>
    <col min="9713" max="9713" width="5.7109375" style="2" customWidth="1"/>
    <col min="9714" max="9714" width="9.85546875" style="2" customWidth="1"/>
    <col min="9715" max="9715" width="9.140625" style="2" customWidth="1"/>
    <col min="9716" max="9721" width="9.140625" style="2" bestFit="1" customWidth="1"/>
    <col min="9722" max="9722" width="7.5703125" style="2" customWidth="1"/>
    <col min="9723" max="9723" width="8.7109375" style="2" customWidth="1"/>
    <col min="9724" max="9724" width="7.7109375" style="2" customWidth="1"/>
    <col min="9725" max="9725" width="9.140625" style="2" bestFit="1" customWidth="1"/>
    <col min="9726" max="9726" width="8" style="2" customWidth="1"/>
    <col min="9727" max="9727" width="8.42578125" style="2" bestFit="1" customWidth="1"/>
    <col min="9728" max="9728" width="6.5703125" style="2" bestFit="1" customWidth="1"/>
    <col min="9729" max="9729" width="10" style="2" customWidth="1"/>
    <col min="9730" max="9730" width="9.140625" style="2" customWidth="1"/>
    <col min="9731" max="9731" width="9" style="2" customWidth="1"/>
    <col min="9732" max="9732" width="10.42578125" style="2" customWidth="1"/>
    <col min="9733" max="9733" width="8.42578125" style="2" customWidth="1"/>
    <col min="9734" max="9734" width="9.5703125" style="2" customWidth="1"/>
    <col min="9735" max="9735" width="9.42578125" style="2" customWidth="1"/>
    <col min="9736" max="9736" width="8.5703125" style="2" customWidth="1"/>
    <col min="9737" max="9737" width="9.140625" style="2" customWidth="1"/>
    <col min="9738" max="9738" width="8.140625" style="2" customWidth="1"/>
    <col min="9739" max="9739" width="8.85546875" style="2" customWidth="1"/>
    <col min="9740" max="9740" width="8.140625" style="2" customWidth="1"/>
    <col min="9741" max="9741" width="8.85546875" style="2" customWidth="1"/>
    <col min="9742" max="9743" width="9.28515625" style="2" customWidth="1"/>
    <col min="9744" max="9744" width="8.42578125" style="2" customWidth="1"/>
    <col min="9745" max="9745" width="8.140625" style="2" customWidth="1"/>
    <col min="9746" max="9746" width="6" style="2" bestFit="1" customWidth="1"/>
    <col min="9747" max="9747" width="7.85546875" style="2" bestFit="1" customWidth="1"/>
    <col min="9748" max="9748" width="5.85546875" style="2" bestFit="1" customWidth="1"/>
    <col min="9749" max="9749" width="6.85546875" style="2" bestFit="1" customWidth="1"/>
    <col min="9750" max="9750" width="6" style="2" bestFit="1" customWidth="1"/>
    <col min="9751" max="9751" width="7.85546875" style="2" bestFit="1" customWidth="1"/>
    <col min="9752" max="9752" width="8.5703125" style="2" customWidth="1"/>
    <col min="9753" max="9753" width="6.85546875" style="2" bestFit="1" customWidth="1"/>
    <col min="9754" max="9754" width="7.5703125" style="2" customWidth="1"/>
    <col min="9755" max="9755" width="8.42578125" style="2" customWidth="1"/>
    <col min="9756" max="9756" width="8" style="2" customWidth="1"/>
    <col min="9757" max="9757" width="8.7109375" style="2" customWidth="1"/>
    <col min="9758" max="9758" width="9.42578125" style="2" customWidth="1"/>
    <col min="9759" max="9759" width="9.7109375" style="2" customWidth="1"/>
    <col min="9760" max="9760" width="10.28515625" style="2" customWidth="1"/>
    <col min="9761" max="9761" width="10" style="2" customWidth="1"/>
    <col min="9762" max="9763" width="8" style="2" customWidth="1"/>
    <col min="9764" max="9764" width="7.42578125" style="2" customWidth="1"/>
    <col min="9765" max="9765" width="7.85546875" style="2" customWidth="1"/>
    <col min="9766" max="9766" width="7.5703125" style="2" bestFit="1" customWidth="1"/>
    <col min="9767" max="9767" width="7.85546875" style="2" bestFit="1" customWidth="1"/>
    <col min="9768" max="9768" width="8.7109375" style="2" customWidth="1"/>
    <col min="9769" max="9769" width="9.42578125" style="2" customWidth="1"/>
    <col min="9770" max="9770" width="8.42578125" style="2" customWidth="1"/>
    <col min="9771" max="9771" width="8" style="2" customWidth="1"/>
    <col min="9772" max="9772" width="6.7109375" style="2" customWidth="1"/>
    <col min="9773" max="9773" width="8" style="2" customWidth="1"/>
    <col min="9774" max="9777" width="0" style="2" hidden="1" customWidth="1"/>
    <col min="9778" max="9778" width="8" style="2" customWidth="1"/>
    <col min="9779" max="9779" width="8.28515625" style="2" customWidth="1"/>
    <col min="9780" max="9780" width="8.42578125" style="2" customWidth="1"/>
    <col min="9781" max="9781" width="7.42578125" style="2" customWidth="1"/>
    <col min="9782" max="9783" width="9.140625" style="2" bestFit="1" customWidth="1"/>
    <col min="9784" max="9784" width="9.140625" style="2" customWidth="1"/>
    <col min="9785" max="9785" width="9.140625" style="2" bestFit="1" customWidth="1"/>
    <col min="9786" max="9786" width="5.7109375" style="2" customWidth="1"/>
    <col min="9787" max="9787" width="7.85546875" style="2" customWidth="1"/>
    <col min="9788" max="9788" width="6.85546875" style="2" customWidth="1"/>
    <col min="9789" max="9789" width="4" style="2" customWidth="1"/>
    <col min="9790" max="9790" width="7" style="2" customWidth="1"/>
    <col min="9791" max="9791" width="7.85546875" style="2" customWidth="1"/>
    <col min="9792" max="9792" width="6.85546875" style="2" customWidth="1"/>
    <col min="9793" max="9793" width="7.140625" style="2" customWidth="1"/>
    <col min="9794" max="9794" width="9.5703125" style="2" customWidth="1"/>
    <col min="9795" max="9795" width="9.42578125" style="2" customWidth="1"/>
    <col min="9796" max="9796" width="9" style="2" customWidth="1"/>
    <col min="9797" max="9797" width="9.85546875" style="2" customWidth="1"/>
    <col min="9798" max="9798" width="5.42578125" style="2" customWidth="1"/>
    <col min="9799" max="9967" width="9.85546875" style="2"/>
    <col min="9968" max="9968" width="27.85546875" style="2" customWidth="1"/>
    <col min="9969" max="9969" width="5.7109375" style="2" customWidth="1"/>
    <col min="9970" max="9970" width="9.85546875" style="2" customWidth="1"/>
    <col min="9971" max="9971" width="9.140625" style="2" customWidth="1"/>
    <col min="9972" max="9977" width="9.140625" style="2" bestFit="1" customWidth="1"/>
    <col min="9978" max="9978" width="7.5703125" style="2" customWidth="1"/>
    <col min="9979" max="9979" width="8.7109375" style="2" customWidth="1"/>
    <col min="9980" max="9980" width="7.7109375" style="2" customWidth="1"/>
    <col min="9981" max="9981" width="9.140625" style="2" bestFit="1" customWidth="1"/>
    <col min="9982" max="9982" width="8" style="2" customWidth="1"/>
    <col min="9983" max="9983" width="8.42578125" style="2" bestFit="1" customWidth="1"/>
    <col min="9984" max="9984" width="6.5703125" style="2" bestFit="1" customWidth="1"/>
    <col min="9985" max="9985" width="10" style="2" customWidth="1"/>
    <col min="9986" max="9986" width="9.140625" style="2" customWidth="1"/>
    <col min="9987" max="9987" width="9" style="2" customWidth="1"/>
    <col min="9988" max="9988" width="10.42578125" style="2" customWidth="1"/>
    <col min="9989" max="9989" width="8.42578125" style="2" customWidth="1"/>
    <col min="9990" max="9990" width="9.5703125" style="2" customWidth="1"/>
    <col min="9991" max="9991" width="9.42578125" style="2" customWidth="1"/>
    <col min="9992" max="9992" width="8.5703125" style="2" customWidth="1"/>
    <col min="9993" max="9993" width="9.140625" style="2" customWidth="1"/>
    <col min="9994" max="9994" width="8.140625" style="2" customWidth="1"/>
    <col min="9995" max="9995" width="8.85546875" style="2" customWidth="1"/>
    <col min="9996" max="9996" width="8.140625" style="2" customWidth="1"/>
    <col min="9997" max="9997" width="8.85546875" style="2" customWidth="1"/>
    <col min="9998" max="9999" width="9.28515625" style="2" customWidth="1"/>
    <col min="10000" max="10000" width="8.42578125" style="2" customWidth="1"/>
    <col min="10001" max="10001" width="8.140625" style="2" customWidth="1"/>
    <col min="10002" max="10002" width="6" style="2" bestFit="1" customWidth="1"/>
    <col min="10003" max="10003" width="7.85546875" style="2" bestFit="1" customWidth="1"/>
    <col min="10004" max="10004" width="5.85546875" style="2" bestFit="1" customWidth="1"/>
    <col min="10005" max="10005" width="6.85546875" style="2" bestFit="1" customWidth="1"/>
    <col min="10006" max="10006" width="6" style="2" bestFit="1" customWidth="1"/>
    <col min="10007" max="10007" width="7.85546875" style="2" bestFit="1" customWidth="1"/>
    <col min="10008" max="10008" width="8.5703125" style="2" customWidth="1"/>
    <col min="10009" max="10009" width="6.85546875" style="2" bestFit="1" customWidth="1"/>
    <col min="10010" max="10010" width="7.5703125" style="2" customWidth="1"/>
    <col min="10011" max="10011" width="8.42578125" style="2" customWidth="1"/>
    <col min="10012" max="10012" width="8" style="2" customWidth="1"/>
    <col min="10013" max="10013" width="8.7109375" style="2" customWidth="1"/>
    <col min="10014" max="10014" width="9.42578125" style="2" customWidth="1"/>
    <col min="10015" max="10015" width="9.7109375" style="2" customWidth="1"/>
    <col min="10016" max="10016" width="10.28515625" style="2" customWidth="1"/>
    <col min="10017" max="10017" width="10" style="2" customWidth="1"/>
    <col min="10018" max="10019" width="8" style="2" customWidth="1"/>
    <col min="10020" max="10020" width="7.42578125" style="2" customWidth="1"/>
    <col min="10021" max="10021" width="7.85546875" style="2" customWidth="1"/>
    <col min="10022" max="10022" width="7.5703125" style="2" bestFit="1" customWidth="1"/>
    <col min="10023" max="10023" width="7.85546875" style="2" bestFit="1" customWidth="1"/>
    <col min="10024" max="10024" width="8.7109375" style="2" customWidth="1"/>
    <col min="10025" max="10025" width="9.42578125" style="2" customWidth="1"/>
    <col min="10026" max="10026" width="8.42578125" style="2" customWidth="1"/>
    <col min="10027" max="10027" width="8" style="2" customWidth="1"/>
    <col min="10028" max="10028" width="6.7109375" style="2" customWidth="1"/>
    <col min="10029" max="10029" width="8" style="2" customWidth="1"/>
    <col min="10030" max="10033" width="0" style="2" hidden="1" customWidth="1"/>
    <col min="10034" max="10034" width="8" style="2" customWidth="1"/>
    <col min="10035" max="10035" width="8.28515625" style="2" customWidth="1"/>
    <col min="10036" max="10036" width="8.42578125" style="2" customWidth="1"/>
    <col min="10037" max="10037" width="7.42578125" style="2" customWidth="1"/>
    <col min="10038" max="10039" width="9.140625" style="2" bestFit="1" customWidth="1"/>
    <col min="10040" max="10040" width="9.140625" style="2" customWidth="1"/>
    <col min="10041" max="10041" width="9.140625" style="2" bestFit="1" customWidth="1"/>
    <col min="10042" max="10042" width="5.7109375" style="2" customWidth="1"/>
    <col min="10043" max="10043" width="7.85546875" style="2" customWidth="1"/>
    <col min="10044" max="10044" width="6.85546875" style="2" customWidth="1"/>
    <col min="10045" max="10045" width="4" style="2" customWidth="1"/>
    <col min="10046" max="10046" width="7" style="2" customWidth="1"/>
    <col min="10047" max="10047" width="7.85546875" style="2" customWidth="1"/>
    <col min="10048" max="10048" width="6.85546875" style="2" customWidth="1"/>
    <col min="10049" max="10049" width="7.140625" style="2" customWidth="1"/>
    <col min="10050" max="10050" width="9.5703125" style="2" customWidth="1"/>
    <col min="10051" max="10051" width="9.42578125" style="2" customWidth="1"/>
    <col min="10052" max="10052" width="9" style="2" customWidth="1"/>
    <col min="10053" max="10053" width="9.85546875" style="2" customWidth="1"/>
    <col min="10054" max="10054" width="5.42578125" style="2" customWidth="1"/>
    <col min="10055" max="10223" width="9.85546875" style="2"/>
    <col min="10224" max="10224" width="27.85546875" style="2" customWidth="1"/>
    <col min="10225" max="10225" width="5.7109375" style="2" customWidth="1"/>
    <col min="10226" max="10226" width="9.85546875" style="2" customWidth="1"/>
    <col min="10227" max="10227" width="9.140625" style="2" customWidth="1"/>
    <col min="10228" max="10233" width="9.140625" style="2" bestFit="1" customWidth="1"/>
    <col min="10234" max="10234" width="7.5703125" style="2" customWidth="1"/>
    <col min="10235" max="10235" width="8.7109375" style="2" customWidth="1"/>
    <col min="10236" max="10236" width="7.7109375" style="2" customWidth="1"/>
    <col min="10237" max="10237" width="9.140625" style="2" bestFit="1" customWidth="1"/>
    <col min="10238" max="10238" width="8" style="2" customWidth="1"/>
    <col min="10239" max="10239" width="8.42578125" style="2" bestFit="1" customWidth="1"/>
    <col min="10240" max="10240" width="6.5703125" style="2" bestFit="1" customWidth="1"/>
    <col min="10241" max="10241" width="10" style="2" customWidth="1"/>
    <col min="10242" max="10242" width="9.140625" style="2" customWidth="1"/>
    <col min="10243" max="10243" width="9" style="2" customWidth="1"/>
    <col min="10244" max="10244" width="10.42578125" style="2" customWidth="1"/>
    <col min="10245" max="10245" width="8.42578125" style="2" customWidth="1"/>
    <col min="10246" max="10246" width="9.5703125" style="2" customWidth="1"/>
    <col min="10247" max="10247" width="9.42578125" style="2" customWidth="1"/>
    <col min="10248" max="10248" width="8.5703125" style="2" customWidth="1"/>
    <col min="10249" max="10249" width="9.140625" style="2" customWidth="1"/>
    <col min="10250" max="10250" width="8.140625" style="2" customWidth="1"/>
    <col min="10251" max="10251" width="8.85546875" style="2" customWidth="1"/>
    <col min="10252" max="10252" width="8.140625" style="2" customWidth="1"/>
    <col min="10253" max="10253" width="8.85546875" style="2" customWidth="1"/>
    <col min="10254" max="10255" width="9.28515625" style="2" customWidth="1"/>
    <col min="10256" max="10256" width="8.42578125" style="2" customWidth="1"/>
    <col min="10257" max="10257" width="8.140625" style="2" customWidth="1"/>
    <col min="10258" max="10258" width="6" style="2" bestFit="1" customWidth="1"/>
    <col min="10259" max="10259" width="7.85546875" style="2" bestFit="1" customWidth="1"/>
    <col min="10260" max="10260" width="5.85546875" style="2" bestFit="1" customWidth="1"/>
    <col min="10261" max="10261" width="6.85546875" style="2" bestFit="1" customWidth="1"/>
    <col min="10262" max="10262" width="6" style="2" bestFit="1" customWidth="1"/>
    <col min="10263" max="10263" width="7.85546875" style="2" bestFit="1" customWidth="1"/>
    <col min="10264" max="10264" width="8.5703125" style="2" customWidth="1"/>
    <col min="10265" max="10265" width="6.85546875" style="2" bestFit="1" customWidth="1"/>
    <col min="10266" max="10266" width="7.5703125" style="2" customWidth="1"/>
    <col min="10267" max="10267" width="8.42578125" style="2" customWidth="1"/>
    <col min="10268" max="10268" width="8" style="2" customWidth="1"/>
    <col min="10269" max="10269" width="8.7109375" style="2" customWidth="1"/>
    <col min="10270" max="10270" width="9.42578125" style="2" customWidth="1"/>
    <col min="10271" max="10271" width="9.7109375" style="2" customWidth="1"/>
    <col min="10272" max="10272" width="10.28515625" style="2" customWidth="1"/>
    <col min="10273" max="10273" width="10" style="2" customWidth="1"/>
    <col min="10274" max="10275" width="8" style="2" customWidth="1"/>
    <col min="10276" max="10276" width="7.42578125" style="2" customWidth="1"/>
    <col min="10277" max="10277" width="7.85546875" style="2" customWidth="1"/>
    <col min="10278" max="10278" width="7.5703125" style="2" bestFit="1" customWidth="1"/>
    <col min="10279" max="10279" width="7.85546875" style="2" bestFit="1" customWidth="1"/>
    <col min="10280" max="10280" width="8.7109375" style="2" customWidth="1"/>
    <col min="10281" max="10281" width="9.42578125" style="2" customWidth="1"/>
    <col min="10282" max="10282" width="8.42578125" style="2" customWidth="1"/>
    <col min="10283" max="10283" width="8" style="2" customWidth="1"/>
    <col min="10284" max="10284" width="6.7109375" style="2" customWidth="1"/>
    <col min="10285" max="10285" width="8" style="2" customWidth="1"/>
    <col min="10286" max="10289" width="0" style="2" hidden="1" customWidth="1"/>
    <col min="10290" max="10290" width="8" style="2" customWidth="1"/>
    <col min="10291" max="10291" width="8.28515625" style="2" customWidth="1"/>
    <col min="10292" max="10292" width="8.42578125" style="2" customWidth="1"/>
    <col min="10293" max="10293" width="7.42578125" style="2" customWidth="1"/>
    <col min="10294" max="10295" width="9.140625" style="2" bestFit="1" customWidth="1"/>
    <col min="10296" max="10296" width="9.140625" style="2" customWidth="1"/>
    <col min="10297" max="10297" width="9.140625" style="2" bestFit="1" customWidth="1"/>
    <col min="10298" max="10298" width="5.7109375" style="2" customWidth="1"/>
    <col min="10299" max="10299" width="7.85546875" style="2" customWidth="1"/>
    <col min="10300" max="10300" width="6.85546875" style="2" customWidth="1"/>
    <col min="10301" max="10301" width="4" style="2" customWidth="1"/>
    <col min="10302" max="10302" width="7" style="2" customWidth="1"/>
    <col min="10303" max="10303" width="7.85546875" style="2" customWidth="1"/>
    <col min="10304" max="10304" width="6.85546875" style="2" customWidth="1"/>
    <col min="10305" max="10305" width="7.140625" style="2" customWidth="1"/>
    <col min="10306" max="10306" width="9.5703125" style="2" customWidth="1"/>
    <col min="10307" max="10307" width="9.42578125" style="2" customWidth="1"/>
    <col min="10308" max="10308" width="9" style="2" customWidth="1"/>
    <col min="10309" max="10309" width="9.85546875" style="2" customWidth="1"/>
    <col min="10310" max="10310" width="5.42578125" style="2" customWidth="1"/>
    <col min="10311" max="10479" width="9.85546875" style="2"/>
    <col min="10480" max="10480" width="27.85546875" style="2" customWidth="1"/>
    <col min="10481" max="10481" width="5.7109375" style="2" customWidth="1"/>
    <col min="10482" max="10482" width="9.85546875" style="2" customWidth="1"/>
    <col min="10483" max="10483" width="9.140625" style="2" customWidth="1"/>
    <col min="10484" max="10489" width="9.140625" style="2" bestFit="1" customWidth="1"/>
    <col min="10490" max="10490" width="7.5703125" style="2" customWidth="1"/>
    <col min="10491" max="10491" width="8.7109375" style="2" customWidth="1"/>
    <col min="10492" max="10492" width="7.7109375" style="2" customWidth="1"/>
    <col min="10493" max="10493" width="9.140625" style="2" bestFit="1" customWidth="1"/>
    <col min="10494" max="10494" width="8" style="2" customWidth="1"/>
    <col min="10495" max="10495" width="8.42578125" style="2" bestFit="1" customWidth="1"/>
    <col min="10496" max="10496" width="6.5703125" style="2" bestFit="1" customWidth="1"/>
    <col min="10497" max="10497" width="10" style="2" customWidth="1"/>
    <col min="10498" max="10498" width="9.140625" style="2" customWidth="1"/>
    <col min="10499" max="10499" width="9" style="2" customWidth="1"/>
    <col min="10500" max="10500" width="10.42578125" style="2" customWidth="1"/>
    <col min="10501" max="10501" width="8.42578125" style="2" customWidth="1"/>
    <col min="10502" max="10502" width="9.5703125" style="2" customWidth="1"/>
    <col min="10503" max="10503" width="9.42578125" style="2" customWidth="1"/>
    <col min="10504" max="10504" width="8.5703125" style="2" customWidth="1"/>
    <col min="10505" max="10505" width="9.140625" style="2" customWidth="1"/>
    <col min="10506" max="10506" width="8.140625" style="2" customWidth="1"/>
    <col min="10507" max="10507" width="8.85546875" style="2" customWidth="1"/>
    <col min="10508" max="10508" width="8.140625" style="2" customWidth="1"/>
    <col min="10509" max="10509" width="8.85546875" style="2" customWidth="1"/>
    <col min="10510" max="10511" width="9.28515625" style="2" customWidth="1"/>
    <col min="10512" max="10512" width="8.42578125" style="2" customWidth="1"/>
    <col min="10513" max="10513" width="8.140625" style="2" customWidth="1"/>
    <col min="10514" max="10514" width="6" style="2" bestFit="1" customWidth="1"/>
    <col min="10515" max="10515" width="7.85546875" style="2" bestFit="1" customWidth="1"/>
    <col min="10516" max="10516" width="5.85546875" style="2" bestFit="1" customWidth="1"/>
    <col min="10517" max="10517" width="6.85546875" style="2" bestFit="1" customWidth="1"/>
    <col min="10518" max="10518" width="6" style="2" bestFit="1" customWidth="1"/>
    <col min="10519" max="10519" width="7.85546875" style="2" bestFit="1" customWidth="1"/>
    <col min="10520" max="10520" width="8.5703125" style="2" customWidth="1"/>
    <col min="10521" max="10521" width="6.85546875" style="2" bestFit="1" customWidth="1"/>
    <col min="10522" max="10522" width="7.5703125" style="2" customWidth="1"/>
    <col min="10523" max="10523" width="8.42578125" style="2" customWidth="1"/>
    <col min="10524" max="10524" width="8" style="2" customWidth="1"/>
    <col min="10525" max="10525" width="8.7109375" style="2" customWidth="1"/>
    <col min="10526" max="10526" width="9.42578125" style="2" customWidth="1"/>
    <col min="10527" max="10527" width="9.7109375" style="2" customWidth="1"/>
    <col min="10528" max="10528" width="10.28515625" style="2" customWidth="1"/>
    <col min="10529" max="10529" width="10" style="2" customWidth="1"/>
    <col min="10530" max="10531" width="8" style="2" customWidth="1"/>
    <col min="10532" max="10532" width="7.42578125" style="2" customWidth="1"/>
    <col min="10533" max="10533" width="7.85546875" style="2" customWidth="1"/>
    <col min="10534" max="10534" width="7.5703125" style="2" bestFit="1" customWidth="1"/>
    <col min="10535" max="10535" width="7.85546875" style="2" bestFit="1" customWidth="1"/>
    <col min="10536" max="10536" width="8.7109375" style="2" customWidth="1"/>
    <col min="10537" max="10537" width="9.42578125" style="2" customWidth="1"/>
    <col min="10538" max="10538" width="8.42578125" style="2" customWidth="1"/>
    <col min="10539" max="10539" width="8" style="2" customWidth="1"/>
    <col min="10540" max="10540" width="6.7109375" style="2" customWidth="1"/>
    <col min="10541" max="10541" width="8" style="2" customWidth="1"/>
    <col min="10542" max="10545" width="0" style="2" hidden="1" customWidth="1"/>
    <col min="10546" max="10546" width="8" style="2" customWidth="1"/>
    <col min="10547" max="10547" width="8.28515625" style="2" customWidth="1"/>
    <col min="10548" max="10548" width="8.42578125" style="2" customWidth="1"/>
    <col min="10549" max="10549" width="7.42578125" style="2" customWidth="1"/>
    <col min="10550" max="10551" width="9.140625" style="2" bestFit="1" customWidth="1"/>
    <col min="10552" max="10552" width="9.140625" style="2" customWidth="1"/>
    <col min="10553" max="10553" width="9.140625" style="2" bestFit="1" customWidth="1"/>
    <col min="10554" max="10554" width="5.7109375" style="2" customWidth="1"/>
    <col min="10555" max="10555" width="7.85546875" style="2" customWidth="1"/>
    <col min="10556" max="10556" width="6.85546875" style="2" customWidth="1"/>
    <col min="10557" max="10557" width="4" style="2" customWidth="1"/>
    <col min="10558" max="10558" width="7" style="2" customWidth="1"/>
    <col min="10559" max="10559" width="7.85546875" style="2" customWidth="1"/>
    <col min="10560" max="10560" width="6.85546875" style="2" customWidth="1"/>
    <col min="10561" max="10561" width="7.140625" style="2" customWidth="1"/>
    <col min="10562" max="10562" width="9.5703125" style="2" customWidth="1"/>
    <col min="10563" max="10563" width="9.42578125" style="2" customWidth="1"/>
    <col min="10564" max="10564" width="9" style="2" customWidth="1"/>
    <col min="10565" max="10565" width="9.85546875" style="2" customWidth="1"/>
    <col min="10566" max="10566" width="5.42578125" style="2" customWidth="1"/>
    <col min="10567" max="10735" width="9.85546875" style="2"/>
    <col min="10736" max="10736" width="27.85546875" style="2" customWidth="1"/>
    <col min="10737" max="10737" width="5.7109375" style="2" customWidth="1"/>
    <col min="10738" max="10738" width="9.85546875" style="2" customWidth="1"/>
    <col min="10739" max="10739" width="9.140625" style="2" customWidth="1"/>
    <col min="10740" max="10745" width="9.140625" style="2" bestFit="1" customWidth="1"/>
    <col min="10746" max="10746" width="7.5703125" style="2" customWidth="1"/>
    <col min="10747" max="10747" width="8.7109375" style="2" customWidth="1"/>
    <col min="10748" max="10748" width="7.7109375" style="2" customWidth="1"/>
    <col min="10749" max="10749" width="9.140625" style="2" bestFit="1" customWidth="1"/>
    <col min="10750" max="10750" width="8" style="2" customWidth="1"/>
    <col min="10751" max="10751" width="8.42578125" style="2" bestFit="1" customWidth="1"/>
    <col min="10752" max="10752" width="6.5703125" style="2" bestFit="1" customWidth="1"/>
    <col min="10753" max="10753" width="10" style="2" customWidth="1"/>
    <col min="10754" max="10754" width="9.140625" style="2" customWidth="1"/>
    <col min="10755" max="10755" width="9" style="2" customWidth="1"/>
    <col min="10756" max="10756" width="10.42578125" style="2" customWidth="1"/>
    <col min="10757" max="10757" width="8.42578125" style="2" customWidth="1"/>
    <col min="10758" max="10758" width="9.5703125" style="2" customWidth="1"/>
    <col min="10759" max="10759" width="9.42578125" style="2" customWidth="1"/>
    <col min="10760" max="10760" width="8.5703125" style="2" customWidth="1"/>
    <col min="10761" max="10761" width="9.140625" style="2" customWidth="1"/>
    <col min="10762" max="10762" width="8.140625" style="2" customWidth="1"/>
    <col min="10763" max="10763" width="8.85546875" style="2" customWidth="1"/>
    <col min="10764" max="10764" width="8.140625" style="2" customWidth="1"/>
    <col min="10765" max="10765" width="8.85546875" style="2" customWidth="1"/>
    <col min="10766" max="10767" width="9.28515625" style="2" customWidth="1"/>
    <col min="10768" max="10768" width="8.42578125" style="2" customWidth="1"/>
    <col min="10769" max="10769" width="8.140625" style="2" customWidth="1"/>
    <col min="10770" max="10770" width="6" style="2" bestFit="1" customWidth="1"/>
    <col min="10771" max="10771" width="7.85546875" style="2" bestFit="1" customWidth="1"/>
    <col min="10772" max="10772" width="5.85546875" style="2" bestFit="1" customWidth="1"/>
    <col min="10773" max="10773" width="6.85546875" style="2" bestFit="1" customWidth="1"/>
    <col min="10774" max="10774" width="6" style="2" bestFit="1" customWidth="1"/>
    <col min="10775" max="10775" width="7.85546875" style="2" bestFit="1" customWidth="1"/>
    <col min="10776" max="10776" width="8.5703125" style="2" customWidth="1"/>
    <col min="10777" max="10777" width="6.85546875" style="2" bestFit="1" customWidth="1"/>
    <col min="10778" max="10778" width="7.5703125" style="2" customWidth="1"/>
    <col min="10779" max="10779" width="8.42578125" style="2" customWidth="1"/>
    <col min="10780" max="10780" width="8" style="2" customWidth="1"/>
    <col min="10781" max="10781" width="8.7109375" style="2" customWidth="1"/>
    <col min="10782" max="10782" width="9.42578125" style="2" customWidth="1"/>
    <col min="10783" max="10783" width="9.7109375" style="2" customWidth="1"/>
    <col min="10784" max="10784" width="10.28515625" style="2" customWidth="1"/>
    <col min="10785" max="10785" width="10" style="2" customWidth="1"/>
    <col min="10786" max="10787" width="8" style="2" customWidth="1"/>
    <col min="10788" max="10788" width="7.42578125" style="2" customWidth="1"/>
    <col min="10789" max="10789" width="7.85546875" style="2" customWidth="1"/>
    <col min="10790" max="10790" width="7.5703125" style="2" bestFit="1" customWidth="1"/>
    <col min="10791" max="10791" width="7.85546875" style="2" bestFit="1" customWidth="1"/>
    <col min="10792" max="10792" width="8.7109375" style="2" customWidth="1"/>
    <col min="10793" max="10793" width="9.42578125" style="2" customWidth="1"/>
    <col min="10794" max="10794" width="8.42578125" style="2" customWidth="1"/>
    <col min="10795" max="10795" width="8" style="2" customWidth="1"/>
    <col min="10796" max="10796" width="6.7109375" style="2" customWidth="1"/>
    <col min="10797" max="10797" width="8" style="2" customWidth="1"/>
    <col min="10798" max="10801" width="0" style="2" hidden="1" customWidth="1"/>
    <col min="10802" max="10802" width="8" style="2" customWidth="1"/>
    <col min="10803" max="10803" width="8.28515625" style="2" customWidth="1"/>
    <col min="10804" max="10804" width="8.42578125" style="2" customWidth="1"/>
    <col min="10805" max="10805" width="7.42578125" style="2" customWidth="1"/>
    <col min="10806" max="10807" width="9.140625" style="2" bestFit="1" customWidth="1"/>
    <col min="10808" max="10808" width="9.140625" style="2" customWidth="1"/>
    <col min="10809" max="10809" width="9.140625" style="2" bestFit="1" customWidth="1"/>
    <col min="10810" max="10810" width="5.7109375" style="2" customWidth="1"/>
    <col min="10811" max="10811" width="7.85546875" style="2" customWidth="1"/>
    <col min="10812" max="10812" width="6.85546875" style="2" customWidth="1"/>
    <col min="10813" max="10813" width="4" style="2" customWidth="1"/>
    <col min="10814" max="10814" width="7" style="2" customWidth="1"/>
    <col min="10815" max="10815" width="7.85546875" style="2" customWidth="1"/>
    <col min="10816" max="10816" width="6.85546875" style="2" customWidth="1"/>
    <col min="10817" max="10817" width="7.140625" style="2" customWidth="1"/>
    <col min="10818" max="10818" width="9.5703125" style="2" customWidth="1"/>
    <col min="10819" max="10819" width="9.42578125" style="2" customWidth="1"/>
    <col min="10820" max="10820" width="9" style="2" customWidth="1"/>
    <col min="10821" max="10821" width="9.85546875" style="2" customWidth="1"/>
    <col min="10822" max="10822" width="5.42578125" style="2" customWidth="1"/>
    <col min="10823" max="10991" width="9.85546875" style="2"/>
    <col min="10992" max="10992" width="27.85546875" style="2" customWidth="1"/>
    <col min="10993" max="10993" width="5.7109375" style="2" customWidth="1"/>
    <col min="10994" max="10994" width="9.85546875" style="2" customWidth="1"/>
    <col min="10995" max="10995" width="9.140625" style="2" customWidth="1"/>
    <col min="10996" max="11001" width="9.140625" style="2" bestFit="1" customWidth="1"/>
    <col min="11002" max="11002" width="7.5703125" style="2" customWidth="1"/>
    <col min="11003" max="11003" width="8.7109375" style="2" customWidth="1"/>
    <col min="11004" max="11004" width="7.7109375" style="2" customWidth="1"/>
    <col min="11005" max="11005" width="9.140625" style="2" bestFit="1" customWidth="1"/>
    <col min="11006" max="11006" width="8" style="2" customWidth="1"/>
    <col min="11007" max="11007" width="8.42578125" style="2" bestFit="1" customWidth="1"/>
    <col min="11008" max="11008" width="6.5703125" style="2" bestFit="1" customWidth="1"/>
    <col min="11009" max="11009" width="10" style="2" customWidth="1"/>
    <col min="11010" max="11010" width="9.140625" style="2" customWidth="1"/>
    <col min="11011" max="11011" width="9" style="2" customWidth="1"/>
    <col min="11012" max="11012" width="10.42578125" style="2" customWidth="1"/>
    <col min="11013" max="11013" width="8.42578125" style="2" customWidth="1"/>
    <col min="11014" max="11014" width="9.5703125" style="2" customWidth="1"/>
    <col min="11015" max="11015" width="9.42578125" style="2" customWidth="1"/>
    <col min="11016" max="11016" width="8.5703125" style="2" customWidth="1"/>
    <col min="11017" max="11017" width="9.140625" style="2" customWidth="1"/>
    <col min="11018" max="11018" width="8.140625" style="2" customWidth="1"/>
    <col min="11019" max="11019" width="8.85546875" style="2" customWidth="1"/>
    <col min="11020" max="11020" width="8.140625" style="2" customWidth="1"/>
    <col min="11021" max="11021" width="8.85546875" style="2" customWidth="1"/>
    <col min="11022" max="11023" width="9.28515625" style="2" customWidth="1"/>
    <col min="11024" max="11024" width="8.42578125" style="2" customWidth="1"/>
    <col min="11025" max="11025" width="8.140625" style="2" customWidth="1"/>
    <col min="11026" max="11026" width="6" style="2" bestFit="1" customWidth="1"/>
    <col min="11027" max="11027" width="7.85546875" style="2" bestFit="1" customWidth="1"/>
    <col min="11028" max="11028" width="5.85546875" style="2" bestFit="1" customWidth="1"/>
    <col min="11029" max="11029" width="6.85546875" style="2" bestFit="1" customWidth="1"/>
    <col min="11030" max="11030" width="6" style="2" bestFit="1" customWidth="1"/>
    <col min="11031" max="11031" width="7.85546875" style="2" bestFit="1" customWidth="1"/>
    <col min="11032" max="11032" width="8.5703125" style="2" customWidth="1"/>
    <col min="11033" max="11033" width="6.85546875" style="2" bestFit="1" customWidth="1"/>
    <col min="11034" max="11034" width="7.5703125" style="2" customWidth="1"/>
    <col min="11035" max="11035" width="8.42578125" style="2" customWidth="1"/>
    <col min="11036" max="11036" width="8" style="2" customWidth="1"/>
    <col min="11037" max="11037" width="8.7109375" style="2" customWidth="1"/>
    <col min="11038" max="11038" width="9.42578125" style="2" customWidth="1"/>
    <col min="11039" max="11039" width="9.7109375" style="2" customWidth="1"/>
    <col min="11040" max="11040" width="10.28515625" style="2" customWidth="1"/>
    <col min="11041" max="11041" width="10" style="2" customWidth="1"/>
    <col min="11042" max="11043" width="8" style="2" customWidth="1"/>
    <col min="11044" max="11044" width="7.42578125" style="2" customWidth="1"/>
    <col min="11045" max="11045" width="7.85546875" style="2" customWidth="1"/>
    <col min="11046" max="11046" width="7.5703125" style="2" bestFit="1" customWidth="1"/>
    <col min="11047" max="11047" width="7.85546875" style="2" bestFit="1" customWidth="1"/>
    <col min="11048" max="11048" width="8.7109375" style="2" customWidth="1"/>
    <col min="11049" max="11049" width="9.42578125" style="2" customWidth="1"/>
    <col min="11050" max="11050" width="8.42578125" style="2" customWidth="1"/>
    <col min="11051" max="11051" width="8" style="2" customWidth="1"/>
    <col min="11052" max="11052" width="6.7109375" style="2" customWidth="1"/>
    <col min="11053" max="11053" width="8" style="2" customWidth="1"/>
    <col min="11054" max="11057" width="0" style="2" hidden="1" customWidth="1"/>
    <col min="11058" max="11058" width="8" style="2" customWidth="1"/>
    <col min="11059" max="11059" width="8.28515625" style="2" customWidth="1"/>
    <col min="11060" max="11060" width="8.42578125" style="2" customWidth="1"/>
    <col min="11061" max="11061" width="7.42578125" style="2" customWidth="1"/>
    <col min="11062" max="11063" width="9.140625" style="2" bestFit="1" customWidth="1"/>
    <col min="11064" max="11064" width="9.140625" style="2" customWidth="1"/>
    <col min="11065" max="11065" width="9.140625" style="2" bestFit="1" customWidth="1"/>
    <col min="11066" max="11066" width="5.7109375" style="2" customWidth="1"/>
    <col min="11067" max="11067" width="7.85546875" style="2" customWidth="1"/>
    <col min="11068" max="11068" width="6.85546875" style="2" customWidth="1"/>
    <col min="11069" max="11069" width="4" style="2" customWidth="1"/>
    <col min="11070" max="11070" width="7" style="2" customWidth="1"/>
    <col min="11071" max="11071" width="7.85546875" style="2" customWidth="1"/>
    <col min="11072" max="11072" width="6.85546875" style="2" customWidth="1"/>
    <col min="11073" max="11073" width="7.140625" style="2" customWidth="1"/>
    <col min="11074" max="11074" width="9.5703125" style="2" customWidth="1"/>
    <col min="11075" max="11075" width="9.42578125" style="2" customWidth="1"/>
    <col min="11076" max="11076" width="9" style="2" customWidth="1"/>
    <col min="11077" max="11077" width="9.85546875" style="2" customWidth="1"/>
    <col min="11078" max="11078" width="5.42578125" style="2" customWidth="1"/>
    <col min="11079" max="11247" width="9.85546875" style="2"/>
    <col min="11248" max="11248" width="27.85546875" style="2" customWidth="1"/>
    <col min="11249" max="11249" width="5.7109375" style="2" customWidth="1"/>
    <col min="11250" max="11250" width="9.85546875" style="2" customWidth="1"/>
    <col min="11251" max="11251" width="9.140625" style="2" customWidth="1"/>
    <col min="11252" max="11257" width="9.140625" style="2" bestFit="1" customWidth="1"/>
    <col min="11258" max="11258" width="7.5703125" style="2" customWidth="1"/>
    <col min="11259" max="11259" width="8.7109375" style="2" customWidth="1"/>
    <col min="11260" max="11260" width="7.7109375" style="2" customWidth="1"/>
    <col min="11261" max="11261" width="9.140625" style="2" bestFit="1" customWidth="1"/>
    <col min="11262" max="11262" width="8" style="2" customWidth="1"/>
    <col min="11263" max="11263" width="8.42578125" style="2" bestFit="1" customWidth="1"/>
    <col min="11264" max="11264" width="6.5703125" style="2" bestFit="1" customWidth="1"/>
    <col min="11265" max="11265" width="10" style="2" customWidth="1"/>
    <col min="11266" max="11266" width="9.140625" style="2" customWidth="1"/>
    <col min="11267" max="11267" width="9" style="2" customWidth="1"/>
    <col min="11268" max="11268" width="10.42578125" style="2" customWidth="1"/>
    <col min="11269" max="11269" width="8.42578125" style="2" customWidth="1"/>
    <col min="11270" max="11270" width="9.5703125" style="2" customWidth="1"/>
    <col min="11271" max="11271" width="9.42578125" style="2" customWidth="1"/>
    <col min="11272" max="11272" width="8.5703125" style="2" customWidth="1"/>
    <col min="11273" max="11273" width="9.140625" style="2" customWidth="1"/>
    <col min="11274" max="11274" width="8.140625" style="2" customWidth="1"/>
    <col min="11275" max="11275" width="8.85546875" style="2" customWidth="1"/>
    <col min="11276" max="11276" width="8.140625" style="2" customWidth="1"/>
    <col min="11277" max="11277" width="8.85546875" style="2" customWidth="1"/>
    <col min="11278" max="11279" width="9.28515625" style="2" customWidth="1"/>
    <col min="11280" max="11280" width="8.42578125" style="2" customWidth="1"/>
    <col min="11281" max="11281" width="8.140625" style="2" customWidth="1"/>
    <col min="11282" max="11282" width="6" style="2" bestFit="1" customWidth="1"/>
    <col min="11283" max="11283" width="7.85546875" style="2" bestFit="1" customWidth="1"/>
    <col min="11284" max="11284" width="5.85546875" style="2" bestFit="1" customWidth="1"/>
    <col min="11285" max="11285" width="6.85546875" style="2" bestFit="1" customWidth="1"/>
    <col min="11286" max="11286" width="6" style="2" bestFit="1" customWidth="1"/>
    <col min="11287" max="11287" width="7.85546875" style="2" bestFit="1" customWidth="1"/>
    <col min="11288" max="11288" width="8.5703125" style="2" customWidth="1"/>
    <col min="11289" max="11289" width="6.85546875" style="2" bestFit="1" customWidth="1"/>
    <col min="11290" max="11290" width="7.5703125" style="2" customWidth="1"/>
    <col min="11291" max="11291" width="8.42578125" style="2" customWidth="1"/>
    <col min="11292" max="11292" width="8" style="2" customWidth="1"/>
    <col min="11293" max="11293" width="8.7109375" style="2" customWidth="1"/>
    <col min="11294" max="11294" width="9.42578125" style="2" customWidth="1"/>
    <col min="11295" max="11295" width="9.7109375" style="2" customWidth="1"/>
    <col min="11296" max="11296" width="10.28515625" style="2" customWidth="1"/>
    <col min="11297" max="11297" width="10" style="2" customWidth="1"/>
    <col min="11298" max="11299" width="8" style="2" customWidth="1"/>
    <col min="11300" max="11300" width="7.42578125" style="2" customWidth="1"/>
    <col min="11301" max="11301" width="7.85546875" style="2" customWidth="1"/>
    <col min="11302" max="11302" width="7.5703125" style="2" bestFit="1" customWidth="1"/>
    <col min="11303" max="11303" width="7.85546875" style="2" bestFit="1" customWidth="1"/>
    <col min="11304" max="11304" width="8.7109375" style="2" customWidth="1"/>
    <col min="11305" max="11305" width="9.42578125" style="2" customWidth="1"/>
    <col min="11306" max="11306" width="8.42578125" style="2" customWidth="1"/>
    <col min="11307" max="11307" width="8" style="2" customWidth="1"/>
    <col min="11308" max="11308" width="6.7109375" style="2" customWidth="1"/>
    <col min="11309" max="11309" width="8" style="2" customWidth="1"/>
    <col min="11310" max="11313" width="0" style="2" hidden="1" customWidth="1"/>
    <col min="11314" max="11314" width="8" style="2" customWidth="1"/>
    <col min="11315" max="11315" width="8.28515625" style="2" customWidth="1"/>
    <col min="11316" max="11316" width="8.42578125" style="2" customWidth="1"/>
    <col min="11317" max="11317" width="7.42578125" style="2" customWidth="1"/>
    <col min="11318" max="11319" width="9.140625" style="2" bestFit="1" customWidth="1"/>
    <col min="11320" max="11320" width="9.140625" style="2" customWidth="1"/>
    <col min="11321" max="11321" width="9.140625" style="2" bestFit="1" customWidth="1"/>
    <col min="11322" max="11322" width="5.7109375" style="2" customWidth="1"/>
    <col min="11323" max="11323" width="7.85546875" style="2" customWidth="1"/>
    <col min="11324" max="11324" width="6.85546875" style="2" customWidth="1"/>
    <col min="11325" max="11325" width="4" style="2" customWidth="1"/>
    <col min="11326" max="11326" width="7" style="2" customWidth="1"/>
    <col min="11327" max="11327" width="7.85546875" style="2" customWidth="1"/>
    <col min="11328" max="11328" width="6.85546875" style="2" customWidth="1"/>
    <col min="11329" max="11329" width="7.140625" style="2" customWidth="1"/>
    <col min="11330" max="11330" width="9.5703125" style="2" customWidth="1"/>
    <col min="11331" max="11331" width="9.42578125" style="2" customWidth="1"/>
    <col min="11332" max="11332" width="9" style="2" customWidth="1"/>
    <col min="11333" max="11333" width="9.85546875" style="2" customWidth="1"/>
    <col min="11334" max="11334" width="5.42578125" style="2" customWidth="1"/>
    <col min="11335" max="11503" width="9.85546875" style="2"/>
    <col min="11504" max="11504" width="27.85546875" style="2" customWidth="1"/>
    <col min="11505" max="11505" width="5.7109375" style="2" customWidth="1"/>
    <col min="11506" max="11506" width="9.85546875" style="2" customWidth="1"/>
    <col min="11507" max="11507" width="9.140625" style="2" customWidth="1"/>
    <col min="11508" max="11513" width="9.140625" style="2" bestFit="1" customWidth="1"/>
    <col min="11514" max="11514" width="7.5703125" style="2" customWidth="1"/>
    <col min="11515" max="11515" width="8.7109375" style="2" customWidth="1"/>
    <col min="11516" max="11516" width="7.7109375" style="2" customWidth="1"/>
    <col min="11517" max="11517" width="9.140625" style="2" bestFit="1" customWidth="1"/>
    <col min="11518" max="11518" width="8" style="2" customWidth="1"/>
    <col min="11519" max="11519" width="8.42578125" style="2" bestFit="1" customWidth="1"/>
    <col min="11520" max="11520" width="6.5703125" style="2" bestFit="1" customWidth="1"/>
    <col min="11521" max="11521" width="10" style="2" customWidth="1"/>
    <col min="11522" max="11522" width="9.140625" style="2" customWidth="1"/>
    <col min="11523" max="11523" width="9" style="2" customWidth="1"/>
    <col min="11524" max="11524" width="10.42578125" style="2" customWidth="1"/>
    <col min="11525" max="11525" width="8.42578125" style="2" customWidth="1"/>
    <col min="11526" max="11526" width="9.5703125" style="2" customWidth="1"/>
    <col min="11527" max="11527" width="9.42578125" style="2" customWidth="1"/>
    <col min="11528" max="11528" width="8.5703125" style="2" customWidth="1"/>
    <col min="11529" max="11529" width="9.140625" style="2" customWidth="1"/>
    <col min="11530" max="11530" width="8.140625" style="2" customWidth="1"/>
    <col min="11531" max="11531" width="8.85546875" style="2" customWidth="1"/>
    <col min="11532" max="11532" width="8.140625" style="2" customWidth="1"/>
    <col min="11533" max="11533" width="8.85546875" style="2" customWidth="1"/>
    <col min="11534" max="11535" width="9.28515625" style="2" customWidth="1"/>
    <col min="11536" max="11536" width="8.42578125" style="2" customWidth="1"/>
    <col min="11537" max="11537" width="8.140625" style="2" customWidth="1"/>
    <col min="11538" max="11538" width="6" style="2" bestFit="1" customWidth="1"/>
    <col min="11539" max="11539" width="7.85546875" style="2" bestFit="1" customWidth="1"/>
    <col min="11540" max="11540" width="5.85546875" style="2" bestFit="1" customWidth="1"/>
    <col min="11541" max="11541" width="6.85546875" style="2" bestFit="1" customWidth="1"/>
    <col min="11542" max="11542" width="6" style="2" bestFit="1" customWidth="1"/>
    <col min="11543" max="11543" width="7.85546875" style="2" bestFit="1" customWidth="1"/>
    <col min="11544" max="11544" width="8.5703125" style="2" customWidth="1"/>
    <col min="11545" max="11545" width="6.85546875" style="2" bestFit="1" customWidth="1"/>
    <col min="11546" max="11546" width="7.5703125" style="2" customWidth="1"/>
    <col min="11547" max="11547" width="8.42578125" style="2" customWidth="1"/>
    <col min="11548" max="11548" width="8" style="2" customWidth="1"/>
    <col min="11549" max="11549" width="8.7109375" style="2" customWidth="1"/>
    <col min="11550" max="11550" width="9.42578125" style="2" customWidth="1"/>
    <col min="11551" max="11551" width="9.7109375" style="2" customWidth="1"/>
    <col min="11552" max="11552" width="10.28515625" style="2" customWidth="1"/>
    <col min="11553" max="11553" width="10" style="2" customWidth="1"/>
    <col min="11554" max="11555" width="8" style="2" customWidth="1"/>
    <col min="11556" max="11556" width="7.42578125" style="2" customWidth="1"/>
    <col min="11557" max="11557" width="7.85546875" style="2" customWidth="1"/>
    <col min="11558" max="11558" width="7.5703125" style="2" bestFit="1" customWidth="1"/>
    <col min="11559" max="11559" width="7.85546875" style="2" bestFit="1" customWidth="1"/>
    <col min="11560" max="11560" width="8.7109375" style="2" customWidth="1"/>
    <col min="11561" max="11561" width="9.42578125" style="2" customWidth="1"/>
    <col min="11562" max="11562" width="8.42578125" style="2" customWidth="1"/>
    <col min="11563" max="11563" width="8" style="2" customWidth="1"/>
    <col min="11564" max="11564" width="6.7109375" style="2" customWidth="1"/>
    <col min="11565" max="11565" width="8" style="2" customWidth="1"/>
    <col min="11566" max="11569" width="0" style="2" hidden="1" customWidth="1"/>
    <col min="11570" max="11570" width="8" style="2" customWidth="1"/>
    <col min="11571" max="11571" width="8.28515625" style="2" customWidth="1"/>
    <col min="11572" max="11572" width="8.42578125" style="2" customWidth="1"/>
    <col min="11573" max="11573" width="7.42578125" style="2" customWidth="1"/>
    <col min="11574" max="11575" width="9.140625" style="2" bestFit="1" customWidth="1"/>
    <col min="11576" max="11576" width="9.140625" style="2" customWidth="1"/>
    <col min="11577" max="11577" width="9.140625" style="2" bestFit="1" customWidth="1"/>
    <col min="11578" max="11578" width="5.7109375" style="2" customWidth="1"/>
    <col min="11579" max="11579" width="7.85546875" style="2" customWidth="1"/>
    <col min="11580" max="11580" width="6.85546875" style="2" customWidth="1"/>
    <col min="11581" max="11581" width="4" style="2" customWidth="1"/>
    <col min="11582" max="11582" width="7" style="2" customWidth="1"/>
    <col min="11583" max="11583" width="7.85546875" style="2" customWidth="1"/>
    <col min="11584" max="11584" width="6.85546875" style="2" customWidth="1"/>
    <col min="11585" max="11585" width="7.140625" style="2" customWidth="1"/>
    <col min="11586" max="11586" width="9.5703125" style="2" customWidth="1"/>
    <col min="11587" max="11587" width="9.42578125" style="2" customWidth="1"/>
    <col min="11588" max="11588" width="9" style="2" customWidth="1"/>
    <col min="11589" max="11589" width="9.85546875" style="2" customWidth="1"/>
    <col min="11590" max="11590" width="5.42578125" style="2" customWidth="1"/>
    <col min="11591" max="11759" width="9.85546875" style="2"/>
    <col min="11760" max="11760" width="27.85546875" style="2" customWidth="1"/>
    <col min="11761" max="11761" width="5.7109375" style="2" customWidth="1"/>
    <col min="11762" max="11762" width="9.85546875" style="2" customWidth="1"/>
    <col min="11763" max="11763" width="9.140625" style="2" customWidth="1"/>
    <col min="11764" max="11769" width="9.140625" style="2" bestFit="1" customWidth="1"/>
    <col min="11770" max="11770" width="7.5703125" style="2" customWidth="1"/>
    <col min="11771" max="11771" width="8.7109375" style="2" customWidth="1"/>
    <col min="11772" max="11772" width="7.7109375" style="2" customWidth="1"/>
    <col min="11773" max="11773" width="9.140625" style="2" bestFit="1" customWidth="1"/>
    <col min="11774" max="11774" width="8" style="2" customWidth="1"/>
    <col min="11775" max="11775" width="8.42578125" style="2" bestFit="1" customWidth="1"/>
    <col min="11776" max="11776" width="6.5703125" style="2" bestFit="1" customWidth="1"/>
    <col min="11777" max="11777" width="10" style="2" customWidth="1"/>
    <col min="11778" max="11778" width="9.140625" style="2" customWidth="1"/>
    <col min="11779" max="11779" width="9" style="2" customWidth="1"/>
    <col min="11780" max="11780" width="10.42578125" style="2" customWidth="1"/>
    <col min="11781" max="11781" width="8.42578125" style="2" customWidth="1"/>
    <col min="11782" max="11782" width="9.5703125" style="2" customWidth="1"/>
    <col min="11783" max="11783" width="9.42578125" style="2" customWidth="1"/>
    <col min="11784" max="11784" width="8.5703125" style="2" customWidth="1"/>
    <col min="11785" max="11785" width="9.140625" style="2" customWidth="1"/>
    <col min="11786" max="11786" width="8.140625" style="2" customWidth="1"/>
    <col min="11787" max="11787" width="8.85546875" style="2" customWidth="1"/>
    <col min="11788" max="11788" width="8.140625" style="2" customWidth="1"/>
    <col min="11789" max="11789" width="8.85546875" style="2" customWidth="1"/>
    <col min="11790" max="11791" width="9.28515625" style="2" customWidth="1"/>
    <col min="11792" max="11792" width="8.42578125" style="2" customWidth="1"/>
    <col min="11793" max="11793" width="8.140625" style="2" customWidth="1"/>
    <col min="11794" max="11794" width="6" style="2" bestFit="1" customWidth="1"/>
    <col min="11795" max="11795" width="7.85546875" style="2" bestFit="1" customWidth="1"/>
    <col min="11796" max="11796" width="5.85546875" style="2" bestFit="1" customWidth="1"/>
    <col min="11797" max="11797" width="6.85546875" style="2" bestFit="1" customWidth="1"/>
    <col min="11798" max="11798" width="6" style="2" bestFit="1" customWidth="1"/>
    <col min="11799" max="11799" width="7.85546875" style="2" bestFit="1" customWidth="1"/>
    <col min="11800" max="11800" width="8.5703125" style="2" customWidth="1"/>
    <col min="11801" max="11801" width="6.85546875" style="2" bestFit="1" customWidth="1"/>
    <col min="11802" max="11802" width="7.5703125" style="2" customWidth="1"/>
    <col min="11803" max="11803" width="8.42578125" style="2" customWidth="1"/>
    <col min="11804" max="11804" width="8" style="2" customWidth="1"/>
    <col min="11805" max="11805" width="8.7109375" style="2" customWidth="1"/>
    <col min="11806" max="11806" width="9.42578125" style="2" customWidth="1"/>
    <col min="11807" max="11807" width="9.7109375" style="2" customWidth="1"/>
    <col min="11808" max="11808" width="10.28515625" style="2" customWidth="1"/>
    <col min="11809" max="11809" width="10" style="2" customWidth="1"/>
    <col min="11810" max="11811" width="8" style="2" customWidth="1"/>
    <col min="11812" max="11812" width="7.42578125" style="2" customWidth="1"/>
    <col min="11813" max="11813" width="7.85546875" style="2" customWidth="1"/>
    <col min="11814" max="11814" width="7.5703125" style="2" bestFit="1" customWidth="1"/>
    <col min="11815" max="11815" width="7.85546875" style="2" bestFit="1" customWidth="1"/>
    <col min="11816" max="11816" width="8.7109375" style="2" customWidth="1"/>
    <col min="11817" max="11817" width="9.42578125" style="2" customWidth="1"/>
    <col min="11818" max="11818" width="8.42578125" style="2" customWidth="1"/>
    <col min="11819" max="11819" width="8" style="2" customWidth="1"/>
    <col min="11820" max="11820" width="6.7109375" style="2" customWidth="1"/>
    <col min="11821" max="11821" width="8" style="2" customWidth="1"/>
    <col min="11822" max="11825" width="0" style="2" hidden="1" customWidth="1"/>
    <col min="11826" max="11826" width="8" style="2" customWidth="1"/>
    <col min="11827" max="11827" width="8.28515625" style="2" customWidth="1"/>
    <col min="11828" max="11828" width="8.42578125" style="2" customWidth="1"/>
    <col min="11829" max="11829" width="7.42578125" style="2" customWidth="1"/>
    <col min="11830" max="11831" width="9.140625" style="2" bestFit="1" customWidth="1"/>
    <col min="11832" max="11832" width="9.140625" style="2" customWidth="1"/>
    <col min="11833" max="11833" width="9.140625" style="2" bestFit="1" customWidth="1"/>
    <col min="11834" max="11834" width="5.7109375" style="2" customWidth="1"/>
    <col min="11835" max="11835" width="7.85546875" style="2" customWidth="1"/>
    <col min="11836" max="11836" width="6.85546875" style="2" customWidth="1"/>
    <col min="11837" max="11837" width="4" style="2" customWidth="1"/>
    <col min="11838" max="11838" width="7" style="2" customWidth="1"/>
    <col min="11839" max="11839" width="7.85546875" style="2" customWidth="1"/>
    <col min="11840" max="11840" width="6.85546875" style="2" customWidth="1"/>
    <col min="11841" max="11841" width="7.140625" style="2" customWidth="1"/>
    <col min="11842" max="11842" width="9.5703125" style="2" customWidth="1"/>
    <col min="11843" max="11843" width="9.42578125" style="2" customWidth="1"/>
    <col min="11844" max="11844" width="9" style="2" customWidth="1"/>
    <col min="11845" max="11845" width="9.85546875" style="2" customWidth="1"/>
    <col min="11846" max="11846" width="5.42578125" style="2" customWidth="1"/>
    <col min="11847" max="12015" width="9.85546875" style="2"/>
    <col min="12016" max="12016" width="27.85546875" style="2" customWidth="1"/>
    <col min="12017" max="12017" width="5.7109375" style="2" customWidth="1"/>
    <col min="12018" max="12018" width="9.85546875" style="2" customWidth="1"/>
    <col min="12019" max="12019" width="9.140625" style="2" customWidth="1"/>
    <col min="12020" max="12025" width="9.140625" style="2" bestFit="1" customWidth="1"/>
    <col min="12026" max="12026" width="7.5703125" style="2" customWidth="1"/>
    <col min="12027" max="12027" width="8.7109375" style="2" customWidth="1"/>
    <col min="12028" max="12028" width="7.7109375" style="2" customWidth="1"/>
    <col min="12029" max="12029" width="9.140625" style="2" bestFit="1" customWidth="1"/>
    <col min="12030" max="12030" width="8" style="2" customWidth="1"/>
    <col min="12031" max="12031" width="8.42578125" style="2" bestFit="1" customWidth="1"/>
    <col min="12032" max="12032" width="6.5703125" style="2" bestFit="1" customWidth="1"/>
    <col min="12033" max="12033" width="10" style="2" customWidth="1"/>
    <col min="12034" max="12034" width="9.140625" style="2" customWidth="1"/>
    <col min="12035" max="12035" width="9" style="2" customWidth="1"/>
    <col min="12036" max="12036" width="10.42578125" style="2" customWidth="1"/>
    <col min="12037" max="12037" width="8.42578125" style="2" customWidth="1"/>
    <col min="12038" max="12038" width="9.5703125" style="2" customWidth="1"/>
    <col min="12039" max="12039" width="9.42578125" style="2" customWidth="1"/>
    <col min="12040" max="12040" width="8.5703125" style="2" customWidth="1"/>
    <col min="12041" max="12041" width="9.140625" style="2" customWidth="1"/>
    <col min="12042" max="12042" width="8.140625" style="2" customWidth="1"/>
    <col min="12043" max="12043" width="8.85546875" style="2" customWidth="1"/>
    <col min="12044" max="12044" width="8.140625" style="2" customWidth="1"/>
    <col min="12045" max="12045" width="8.85546875" style="2" customWidth="1"/>
    <col min="12046" max="12047" width="9.28515625" style="2" customWidth="1"/>
    <col min="12048" max="12048" width="8.42578125" style="2" customWidth="1"/>
    <col min="12049" max="12049" width="8.140625" style="2" customWidth="1"/>
    <col min="12050" max="12050" width="6" style="2" bestFit="1" customWidth="1"/>
    <col min="12051" max="12051" width="7.85546875" style="2" bestFit="1" customWidth="1"/>
    <col min="12052" max="12052" width="5.85546875" style="2" bestFit="1" customWidth="1"/>
    <col min="12053" max="12053" width="6.85546875" style="2" bestFit="1" customWidth="1"/>
    <col min="12054" max="12054" width="6" style="2" bestFit="1" customWidth="1"/>
    <col min="12055" max="12055" width="7.85546875" style="2" bestFit="1" customWidth="1"/>
    <col min="12056" max="12056" width="8.5703125" style="2" customWidth="1"/>
    <col min="12057" max="12057" width="6.85546875" style="2" bestFit="1" customWidth="1"/>
    <col min="12058" max="12058" width="7.5703125" style="2" customWidth="1"/>
    <col min="12059" max="12059" width="8.42578125" style="2" customWidth="1"/>
    <col min="12060" max="12060" width="8" style="2" customWidth="1"/>
    <col min="12061" max="12061" width="8.7109375" style="2" customWidth="1"/>
    <col min="12062" max="12062" width="9.42578125" style="2" customWidth="1"/>
    <col min="12063" max="12063" width="9.7109375" style="2" customWidth="1"/>
    <col min="12064" max="12064" width="10.28515625" style="2" customWidth="1"/>
    <col min="12065" max="12065" width="10" style="2" customWidth="1"/>
    <col min="12066" max="12067" width="8" style="2" customWidth="1"/>
    <col min="12068" max="12068" width="7.42578125" style="2" customWidth="1"/>
    <col min="12069" max="12069" width="7.85546875" style="2" customWidth="1"/>
    <col min="12070" max="12070" width="7.5703125" style="2" bestFit="1" customWidth="1"/>
    <col min="12071" max="12071" width="7.85546875" style="2" bestFit="1" customWidth="1"/>
    <col min="12072" max="12072" width="8.7109375" style="2" customWidth="1"/>
    <col min="12073" max="12073" width="9.42578125" style="2" customWidth="1"/>
    <col min="12074" max="12074" width="8.42578125" style="2" customWidth="1"/>
    <col min="12075" max="12075" width="8" style="2" customWidth="1"/>
    <col min="12076" max="12076" width="6.7109375" style="2" customWidth="1"/>
    <col min="12077" max="12077" width="8" style="2" customWidth="1"/>
    <col min="12078" max="12081" width="0" style="2" hidden="1" customWidth="1"/>
    <col min="12082" max="12082" width="8" style="2" customWidth="1"/>
    <col min="12083" max="12083" width="8.28515625" style="2" customWidth="1"/>
    <col min="12084" max="12084" width="8.42578125" style="2" customWidth="1"/>
    <col min="12085" max="12085" width="7.42578125" style="2" customWidth="1"/>
    <col min="12086" max="12087" width="9.140625" style="2" bestFit="1" customWidth="1"/>
    <col min="12088" max="12088" width="9.140625" style="2" customWidth="1"/>
    <col min="12089" max="12089" width="9.140625" style="2" bestFit="1" customWidth="1"/>
    <col min="12090" max="12090" width="5.7109375" style="2" customWidth="1"/>
    <col min="12091" max="12091" width="7.85546875" style="2" customWidth="1"/>
    <col min="12092" max="12092" width="6.85546875" style="2" customWidth="1"/>
    <col min="12093" max="12093" width="4" style="2" customWidth="1"/>
    <col min="12094" max="12094" width="7" style="2" customWidth="1"/>
    <col min="12095" max="12095" width="7.85546875" style="2" customWidth="1"/>
    <col min="12096" max="12096" width="6.85546875" style="2" customWidth="1"/>
    <col min="12097" max="12097" width="7.140625" style="2" customWidth="1"/>
    <col min="12098" max="12098" width="9.5703125" style="2" customWidth="1"/>
    <col min="12099" max="12099" width="9.42578125" style="2" customWidth="1"/>
    <col min="12100" max="12100" width="9" style="2" customWidth="1"/>
    <col min="12101" max="12101" width="9.85546875" style="2" customWidth="1"/>
    <col min="12102" max="12102" width="5.42578125" style="2" customWidth="1"/>
    <col min="12103" max="12271" width="9.85546875" style="2"/>
    <col min="12272" max="12272" width="27.85546875" style="2" customWidth="1"/>
    <col min="12273" max="12273" width="5.7109375" style="2" customWidth="1"/>
    <col min="12274" max="12274" width="9.85546875" style="2" customWidth="1"/>
    <col min="12275" max="12275" width="9.140625" style="2" customWidth="1"/>
    <col min="12276" max="12281" width="9.140625" style="2" bestFit="1" customWidth="1"/>
    <col min="12282" max="12282" width="7.5703125" style="2" customWidth="1"/>
    <col min="12283" max="12283" width="8.7109375" style="2" customWidth="1"/>
    <col min="12284" max="12284" width="7.7109375" style="2" customWidth="1"/>
    <col min="12285" max="12285" width="9.140625" style="2" bestFit="1" customWidth="1"/>
    <col min="12286" max="12286" width="8" style="2" customWidth="1"/>
    <col min="12287" max="12287" width="8.42578125" style="2" bestFit="1" customWidth="1"/>
    <col min="12288" max="12288" width="6.5703125" style="2" bestFit="1" customWidth="1"/>
    <col min="12289" max="12289" width="10" style="2" customWidth="1"/>
    <col min="12290" max="12290" width="9.140625" style="2" customWidth="1"/>
    <col min="12291" max="12291" width="9" style="2" customWidth="1"/>
    <col min="12292" max="12292" width="10.42578125" style="2" customWidth="1"/>
    <col min="12293" max="12293" width="8.42578125" style="2" customWidth="1"/>
    <col min="12294" max="12294" width="9.5703125" style="2" customWidth="1"/>
    <col min="12295" max="12295" width="9.42578125" style="2" customWidth="1"/>
    <col min="12296" max="12296" width="8.5703125" style="2" customWidth="1"/>
    <col min="12297" max="12297" width="9.140625" style="2" customWidth="1"/>
    <col min="12298" max="12298" width="8.140625" style="2" customWidth="1"/>
    <col min="12299" max="12299" width="8.85546875" style="2" customWidth="1"/>
    <col min="12300" max="12300" width="8.140625" style="2" customWidth="1"/>
    <col min="12301" max="12301" width="8.85546875" style="2" customWidth="1"/>
    <col min="12302" max="12303" width="9.28515625" style="2" customWidth="1"/>
    <col min="12304" max="12304" width="8.42578125" style="2" customWidth="1"/>
    <col min="12305" max="12305" width="8.140625" style="2" customWidth="1"/>
    <col min="12306" max="12306" width="6" style="2" bestFit="1" customWidth="1"/>
    <col min="12307" max="12307" width="7.85546875" style="2" bestFit="1" customWidth="1"/>
    <col min="12308" max="12308" width="5.85546875" style="2" bestFit="1" customWidth="1"/>
    <col min="12309" max="12309" width="6.85546875" style="2" bestFit="1" customWidth="1"/>
    <col min="12310" max="12310" width="6" style="2" bestFit="1" customWidth="1"/>
    <col min="12311" max="12311" width="7.85546875" style="2" bestFit="1" customWidth="1"/>
    <col min="12312" max="12312" width="8.5703125" style="2" customWidth="1"/>
    <col min="12313" max="12313" width="6.85546875" style="2" bestFit="1" customWidth="1"/>
    <col min="12314" max="12314" width="7.5703125" style="2" customWidth="1"/>
    <col min="12315" max="12315" width="8.42578125" style="2" customWidth="1"/>
    <col min="12316" max="12316" width="8" style="2" customWidth="1"/>
    <col min="12317" max="12317" width="8.7109375" style="2" customWidth="1"/>
    <col min="12318" max="12318" width="9.42578125" style="2" customWidth="1"/>
    <col min="12319" max="12319" width="9.7109375" style="2" customWidth="1"/>
    <col min="12320" max="12320" width="10.28515625" style="2" customWidth="1"/>
    <col min="12321" max="12321" width="10" style="2" customWidth="1"/>
    <col min="12322" max="12323" width="8" style="2" customWidth="1"/>
    <col min="12324" max="12324" width="7.42578125" style="2" customWidth="1"/>
    <col min="12325" max="12325" width="7.85546875" style="2" customWidth="1"/>
    <col min="12326" max="12326" width="7.5703125" style="2" bestFit="1" customWidth="1"/>
    <col min="12327" max="12327" width="7.85546875" style="2" bestFit="1" customWidth="1"/>
    <col min="12328" max="12328" width="8.7109375" style="2" customWidth="1"/>
    <col min="12329" max="12329" width="9.42578125" style="2" customWidth="1"/>
    <col min="12330" max="12330" width="8.42578125" style="2" customWidth="1"/>
    <col min="12331" max="12331" width="8" style="2" customWidth="1"/>
    <col min="12332" max="12332" width="6.7109375" style="2" customWidth="1"/>
    <col min="12333" max="12333" width="8" style="2" customWidth="1"/>
    <col min="12334" max="12337" width="0" style="2" hidden="1" customWidth="1"/>
    <col min="12338" max="12338" width="8" style="2" customWidth="1"/>
    <col min="12339" max="12339" width="8.28515625" style="2" customWidth="1"/>
    <col min="12340" max="12340" width="8.42578125" style="2" customWidth="1"/>
    <col min="12341" max="12341" width="7.42578125" style="2" customWidth="1"/>
    <col min="12342" max="12343" width="9.140625" style="2" bestFit="1" customWidth="1"/>
    <col min="12344" max="12344" width="9.140625" style="2" customWidth="1"/>
    <col min="12345" max="12345" width="9.140625" style="2" bestFit="1" customWidth="1"/>
    <col min="12346" max="12346" width="5.7109375" style="2" customWidth="1"/>
    <col min="12347" max="12347" width="7.85546875" style="2" customWidth="1"/>
    <col min="12348" max="12348" width="6.85546875" style="2" customWidth="1"/>
    <col min="12349" max="12349" width="4" style="2" customWidth="1"/>
    <col min="12350" max="12350" width="7" style="2" customWidth="1"/>
    <col min="12351" max="12351" width="7.85546875" style="2" customWidth="1"/>
    <col min="12352" max="12352" width="6.85546875" style="2" customWidth="1"/>
    <col min="12353" max="12353" width="7.140625" style="2" customWidth="1"/>
    <col min="12354" max="12354" width="9.5703125" style="2" customWidth="1"/>
    <col min="12355" max="12355" width="9.42578125" style="2" customWidth="1"/>
    <col min="12356" max="12356" width="9" style="2" customWidth="1"/>
    <col min="12357" max="12357" width="9.85546875" style="2" customWidth="1"/>
    <col min="12358" max="12358" width="5.42578125" style="2" customWidth="1"/>
    <col min="12359" max="12527" width="9.85546875" style="2"/>
    <col min="12528" max="12528" width="27.85546875" style="2" customWidth="1"/>
    <col min="12529" max="12529" width="5.7109375" style="2" customWidth="1"/>
    <col min="12530" max="12530" width="9.85546875" style="2" customWidth="1"/>
    <col min="12531" max="12531" width="9.140625" style="2" customWidth="1"/>
    <col min="12532" max="12537" width="9.140625" style="2" bestFit="1" customWidth="1"/>
    <col min="12538" max="12538" width="7.5703125" style="2" customWidth="1"/>
    <col min="12539" max="12539" width="8.7109375" style="2" customWidth="1"/>
    <col min="12540" max="12540" width="7.7109375" style="2" customWidth="1"/>
    <col min="12541" max="12541" width="9.140625" style="2" bestFit="1" customWidth="1"/>
    <col min="12542" max="12542" width="8" style="2" customWidth="1"/>
    <col min="12543" max="12543" width="8.42578125" style="2" bestFit="1" customWidth="1"/>
    <col min="12544" max="12544" width="6.5703125" style="2" bestFit="1" customWidth="1"/>
    <col min="12545" max="12545" width="10" style="2" customWidth="1"/>
    <col min="12546" max="12546" width="9.140625" style="2" customWidth="1"/>
    <col min="12547" max="12547" width="9" style="2" customWidth="1"/>
    <col min="12548" max="12548" width="10.42578125" style="2" customWidth="1"/>
    <col min="12549" max="12549" width="8.42578125" style="2" customWidth="1"/>
    <col min="12550" max="12550" width="9.5703125" style="2" customWidth="1"/>
    <col min="12551" max="12551" width="9.42578125" style="2" customWidth="1"/>
    <col min="12552" max="12552" width="8.5703125" style="2" customWidth="1"/>
    <col min="12553" max="12553" width="9.140625" style="2" customWidth="1"/>
    <col min="12554" max="12554" width="8.140625" style="2" customWidth="1"/>
    <col min="12555" max="12555" width="8.85546875" style="2" customWidth="1"/>
    <col min="12556" max="12556" width="8.140625" style="2" customWidth="1"/>
    <col min="12557" max="12557" width="8.85546875" style="2" customWidth="1"/>
    <col min="12558" max="12559" width="9.28515625" style="2" customWidth="1"/>
    <col min="12560" max="12560" width="8.42578125" style="2" customWidth="1"/>
    <col min="12561" max="12561" width="8.140625" style="2" customWidth="1"/>
    <col min="12562" max="12562" width="6" style="2" bestFit="1" customWidth="1"/>
    <col min="12563" max="12563" width="7.85546875" style="2" bestFit="1" customWidth="1"/>
    <col min="12564" max="12564" width="5.85546875" style="2" bestFit="1" customWidth="1"/>
    <col min="12565" max="12565" width="6.85546875" style="2" bestFit="1" customWidth="1"/>
    <col min="12566" max="12566" width="6" style="2" bestFit="1" customWidth="1"/>
    <col min="12567" max="12567" width="7.85546875" style="2" bestFit="1" customWidth="1"/>
    <col min="12568" max="12568" width="8.5703125" style="2" customWidth="1"/>
    <col min="12569" max="12569" width="6.85546875" style="2" bestFit="1" customWidth="1"/>
    <col min="12570" max="12570" width="7.5703125" style="2" customWidth="1"/>
    <col min="12571" max="12571" width="8.42578125" style="2" customWidth="1"/>
    <col min="12572" max="12572" width="8" style="2" customWidth="1"/>
    <col min="12573" max="12573" width="8.7109375" style="2" customWidth="1"/>
    <col min="12574" max="12574" width="9.42578125" style="2" customWidth="1"/>
    <col min="12575" max="12575" width="9.7109375" style="2" customWidth="1"/>
    <col min="12576" max="12576" width="10.28515625" style="2" customWidth="1"/>
    <col min="12577" max="12577" width="10" style="2" customWidth="1"/>
    <col min="12578" max="12579" width="8" style="2" customWidth="1"/>
    <col min="12580" max="12580" width="7.42578125" style="2" customWidth="1"/>
    <col min="12581" max="12581" width="7.85546875" style="2" customWidth="1"/>
    <col min="12582" max="12582" width="7.5703125" style="2" bestFit="1" customWidth="1"/>
    <col min="12583" max="12583" width="7.85546875" style="2" bestFit="1" customWidth="1"/>
    <col min="12584" max="12584" width="8.7109375" style="2" customWidth="1"/>
    <col min="12585" max="12585" width="9.42578125" style="2" customWidth="1"/>
    <col min="12586" max="12586" width="8.42578125" style="2" customWidth="1"/>
    <col min="12587" max="12587" width="8" style="2" customWidth="1"/>
    <col min="12588" max="12588" width="6.7109375" style="2" customWidth="1"/>
    <col min="12589" max="12589" width="8" style="2" customWidth="1"/>
    <col min="12590" max="12593" width="0" style="2" hidden="1" customWidth="1"/>
    <col min="12594" max="12594" width="8" style="2" customWidth="1"/>
    <col min="12595" max="12595" width="8.28515625" style="2" customWidth="1"/>
    <col min="12596" max="12596" width="8.42578125" style="2" customWidth="1"/>
    <col min="12597" max="12597" width="7.42578125" style="2" customWidth="1"/>
    <col min="12598" max="12599" width="9.140625" style="2" bestFit="1" customWidth="1"/>
    <col min="12600" max="12600" width="9.140625" style="2" customWidth="1"/>
    <col min="12601" max="12601" width="9.140625" style="2" bestFit="1" customWidth="1"/>
    <col min="12602" max="12602" width="5.7109375" style="2" customWidth="1"/>
    <col min="12603" max="12603" width="7.85546875" style="2" customWidth="1"/>
    <col min="12604" max="12604" width="6.85546875" style="2" customWidth="1"/>
    <col min="12605" max="12605" width="4" style="2" customWidth="1"/>
    <col min="12606" max="12606" width="7" style="2" customWidth="1"/>
    <col min="12607" max="12607" width="7.85546875" style="2" customWidth="1"/>
    <col min="12608" max="12608" width="6.85546875" style="2" customWidth="1"/>
    <col min="12609" max="12609" width="7.140625" style="2" customWidth="1"/>
    <col min="12610" max="12610" width="9.5703125" style="2" customWidth="1"/>
    <col min="12611" max="12611" width="9.42578125" style="2" customWidth="1"/>
    <col min="12612" max="12612" width="9" style="2" customWidth="1"/>
    <col min="12613" max="12613" width="9.85546875" style="2" customWidth="1"/>
    <col min="12614" max="12614" width="5.42578125" style="2" customWidth="1"/>
    <col min="12615" max="12783" width="9.85546875" style="2"/>
    <col min="12784" max="12784" width="27.85546875" style="2" customWidth="1"/>
    <col min="12785" max="12785" width="5.7109375" style="2" customWidth="1"/>
    <col min="12786" max="12786" width="9.85546875" style="2" customWidth="1"/>
    <col min="12787" max="12787" width="9.140625" style="2" customWidth="1"/>
    <col min="12788" max="12793" width="9.140625" style="2" bestFit="1" customWidth="1"/>
    <col min="12794" max="12794" width="7.5703125" style="2" customWidth="1"/>
    <col min="12795" max="12795" width="8.7109375" style="2" customWidth="1"/>
    <col min="12796" max="12796" width="7.7109375" style="2" customWidth="1"/>
    <col min="12797" max="12797" width="9.140625" style="2" bestFit="1" customWidth="1"/>
    <col min="12798" max="12798" width="8" style="2" customWidth="1"/>
    <col min="12799" max="12799" width="8.42578125" style="2" bestFit="1" customWidth="1"/>
    <col min="12800" max="12800" width="6.5703125" style="2" bestFit="1" customWidth="1"/>
    <col min="12801" max="12801" width="10" style="2" customWidth="1"/>
    <col min="12802" max="12802" width="9.140625" style="2" customWidth="1"/>
    <col min="12803" max="12803" width="9" style="2" customWidth="1"/>
    <col min="12804" max="12804" width="10.42578125" style="2" customWidth="1"/>
    <col min="12805" max="12805" width="8.42578125" style="2" customWidth="1"/>
    <col min="12806" max="12806" width="9.5703125" style="2" customWidth="1"/>
    <col min="12807" max="12807" width="9.42578125" style="2" customWidth="1"/>
    <col min="12808" max="12808" width="8.5703125" style="2" customWidth="1"/>
    <col min="12809" max="12809" width="9.140625" style="2" customWidth="1"/>
    <col min="12810" max="12810" width="8.140625" style="2" customWidth="1"/>
    <col min="12811" max="12811" width="8.85546875" style="2" customWidth="1"/>
    <col min="12812" max="12812" width="8.140625" style="2" customWidth="1"/>
    <col min="12813" max="12813" width="8.85546875" style="2" customWidth="1"/>
    <col min="12814" max="12815" width="9.28515625" style="2" customWidth="1"/>
    <col min="12816" max="12816" width="8.42578125" style="2" customWidth="1"/>
    <col min="12817" max="12817" width="8.140625" style="2" customWidth="1"/>
    <col min="12818" max="12818" width="6" style="2" bestFit="1" customWidth="1"/>
    <col min="12819" max="12819" width="7.85546875" style="2" bestFit="1" customWidth="1"/>
    <col min="12820" max="12820" width="5.85546875" style="2" bestFit="1" customWidth="1"/>
    <col min="12821" max="12821" width="6.85546875" style="2" bestFit="1" customWidth="1"/>
    <col min="12822" max="12822" width="6" style="2" bestFit="1" customWidth="1"/>
    <col min="12823" max="12823" width="7.85546875" style="2" bestFit="1" customWidth="1"/>
    <col min="12824" max="12824" width="8.5703125" style="2" customWidth="1"/>
    <col min="12825" max="12825" width="6.85546875" style="2" bestFit="1" customWidth="1"/>
    <col min="12826" max="12826" width="7.5703125" style="2" customWidth="1"/>
    <col min="12827" max="12827" width="8.42578125" style="2" customWidth="1"/>
    <col min="12828" max="12828" width="8" style="2" customWidth="1"/>
    <col min="12829" max="12829" width="8.7109375" style="2" customWidth="1"/>
    <col min="12830" max="12830" width="9.42578125" style="2" customWidth="1"/>
    <col min="12831" max="12831" width="9.7109375" style="2" customWidth="1"/>
    <col min="12832" max="12832" width="10.28515625" style="2" customWidth="1"/>
    <col min="12833" max="12833" width="10" style="2" customWidth="1"/>
    <col min="12834" max="12835" width="8" style="2" customWidth="1"/>
    <col min="12836" max="12836" width="7.42578125" style="2" customWidth="1"/>
    <col min="12837" max="12837" width="7.85546875" style="2" customWidth="1"/>
    <col min="12838" max="12838" width="7.5703125" style="2" bestFit="1" customWidth="1"/>
    <col min="12839" max="12839" width="7.85546875" style="2" bestFit="1" customWidth="1"/>
    <col min="12840" max="12840" width="8.7109375" style="2" customWidth="1"/>
    <col min="12841" max="12841" width="9.42578125" style="2" customWidth="1"/>
    <col min="12842" max="12842" width="8.42578125" style="2" customWidth="1"/>
    <col min="12843" max="12843" width="8" style="2" customWidth="1"/>
    <col min="12844" max="12844" width="6.7109375" style="2" customWidth="1"/>
    <col min="12845" max="12845" width="8" style="2" customWidth="1"/>
    <col min="12846" max="12849" width="0" style="2" hidden="1" customWidth="1"/>
    <col min="12850" max="12850" width="8" style="2" customWidth="1"/>
    <col min="12851" max="12851" width="8.28515625" style="2" customWidth="1"/>
    <col min="12852" max="12852" width="8.42578125" style="2" customWidth="1"/>
    <col min="12853" max="12853" width="7.42578125" style="2" customWidth="1"/>
    <col min="12854" max="12855" width="9.140625" style="2" bestFit="1" customWidth="1"/>
    <col min="12856" max="12856" width="9.140625" style="2" customWidth="1"/>
    <col min="12857" max="12857" width="9.140625" style="2" bestFit="1" customWidth="1"/>
    <col min="12858" max="12858" width="5.7109375" style="2" customWidth="1"/>
    <col min="12859" max="12859" width="7.85546875" style="2" customWidth="1"/>
    <col min="12860" max="12860" width="6.85546875" style="2" customWidth="1"/>
    <col min="12861" max="12861" width="4" style="2" customWidth="1"/>
    <col min="12862" max="12862" width="7" style="2" customWidth="1"/>
    <col min="12863" max="12863" width="7.85546875" style="2" customWidth="1"/>
    <col min="12864" max="12864" width="6.85546875" style="2" customWidth="1"/>
    <col min="12865" max="12865" width="7.140625" style="2" customWidth="1"/>
    <col min="12866" max="12866" width="9.5703125" style="2" customWidth="1"/>
    <col min="12867" max="12867" width="9.42578125" style="2" customWidth="1"/>
    <col min="12868" max="12868" width="9" style="2" customWidth="1"/>
    <col min="12869" max="12869" width="9.85546875" style="2" customWidth="1"/>
    <col min="12870" max="12870" width="5.42578125" style="2" customWidth="1"/>
    <col min="12871" max="13039" width="9.85546875" style="2"/>
    <col min="13040" max="13040" width="27.85546875" style="2" customWidth="1"/>
    <col min="13041" max="13041" width="5.7109375" style="2" customWidth="1"/>
    <col min="13042" max="13042" width="9.85546875" style="2" customWidth="1"/>
    <col min="13043" max="13043" width="9.140625" style="2" customWidth="1"/>
    <col min="13044" max="13049" width="9.140625" style="2" bestFit="1" customWidth="1"/>
    <col min="13050" max="13050" width="7.5703125" style="2" customWidth="1"/>
    <col min="13051" max="13051" width="8.7109375" style="2" customWidth="1"/>
    <col min="13052" max="13052" width="7.7109375" style="2" customWidth="1"/>
    <col min="13053" max="13053" width="9.140625" style="2" bestFit="1" customWidth="1"/>
    <col min="13054" max="13054" width="8" style="2" customWidth="1"/>
    <col min="13055" max="13055" width="8.42578125" style="2" bestFit="1" customWidth="1"/>
    <col min="13056" max="13056" width="6.5703125" style="2" bestFit="1" customWidth="1"/>
    <col min="13057" max="13057" width="10" style="2" customWidth="1"/>
    <col min="13058" max="13058" width="9.140625" style="2" customWidth="1"/>
    <col min="13059" max="13059" width="9" style="2" customWidth="1"/>
    <col min="13060" max="13060" width="10.42578125" style="2" customWidth="1"/>
    <col min="13061" max="13061" width="8.42578125" style="2" customWidth="1"/>
    <col min="13062" max="13062" width="9.5703125" style="2" customWidth="1"/>
    <col min="13063" max="13063" width="9.42578125" style="2" customWidth="1"/>
    <col min="13064" max="13064" width="8.5703125" style="2" customWidth="1"/>
    <col min="13065" max="13065" width="9.140625" style="2" customWidth="1"/>
    <col min="13066" max="13066" width="8.140625" style="2" customWidth="1"/>
    <col min="13067" max="13067" width="8.85546875" style="2" customWidth="1"/>
    <col min="13068" max="13068" width="8.140625" style="2" customWidth="1"/>
    <col min="13069" max="13069" width="8.85546875" style="2" customWidth="1"/>
    <col min="13070" max="13071" width="9.28515625" style="2" customWidth="1"/>
    <col min="13072" max="13072" width="8.42578125" style="2" customWidth="1"/>
    <col min="13073" max="13073" width="8.140625" style="2" customWidth="1"/>
    <col min="13074" max="13074" width="6" style="2" bestFit="1" customWidth="1"/>
    <col min="13075" max="13075" width="7.85546875" style="2" bestFit="1" customWidth="1"/>
    <col min="13076" max="13076" width="5.85546875" style="2" bestFit="1" customWidth="1"/>
    <col min="13077" max="13077" width="6.85546875" style="2" bestFit="1" customWidth="1"/>
    <col min="13078" max="13078" width="6" style="2" bestFit="1" customWidth="1"/>
    <col min="13079" max="13079" width="7.85546875" style="2" bestFit="1" customWidth="1"/>
    <col min="13080" max="13080" width="8.5703125" style="2" customWidth="1"/>
    <col min="13081" max="13081" width="6.85546875" style="2" bestFit="1" customWidth="1"/>
    <col min="13082" max="13082" width="7.5703125" style="2" customWidth="1"/>
    <col min="13083" max="13083" width="8.42578125" style="2" customWidth="1"/>
    <col min="13084" max="13084" width="8" style="2" customWidth="1"/>
    <col min="13085" max="13085" width="8.7109375" style="2" customWidth="1"/>
    <col min="13086" max="13086" width="9.42578125" style="2" customWidth="1"/>
    <col min="13087" max="13087" width="9.7109375" style="2" customWidth="1"/>
    <col min="13088" max="13088" width="10.28515625" style="2" customWidth="1"/>
    <col min="13089" max="13089" width="10" style="2" customWidth="1"/>
    <col min="13090" max="13091" width="8" style="2" customWidth="1"/>
    <col min="13092" max="13092" width="7.42578125" style="2" customWidth="1"/>
    <col min="13093" max="13093" width="7.85546875" style="2" customWidth="1"/>
    <col min="13094" max="13094" width="7.5703125" style="2" bestFit="1" customWidth="1"/>
    <col min="13095" max="13095" width="7.85546875" style="2" bestFit="1" customWidth="1"/>
    <col min="13096" max="13096" width="8.7109375" style="2" customWidth="1"/>
    <col min="13097" max="13097" width="9.42578125" style="2" customWidth="1"/>
    <col min="13098" max="13098" width="8.42578125" style="2" customWidth="1"/>
    <col min="13099" max="13099" width="8" style="2" customWidth="1"/>
    <col min="13100" max="13100" width="6.7109375" style="2" customWidth="1"/>
    <col min="13101" max="13101" width="8" style="2" customWidth="1"/>
    <col min="13102" max="13105" width="0" style="2" hidden="1" customWidth="1"/>
    <col min="13106" max="13106" width="8" style="2" customWidth="1"/>
    <col min="13107" max="13107" width="8.28515625" style="2" customWidth="1"/>
    <col min="13108" max="13108" width="8.42578125" style="2" customWidth="1"/>
    <col min="13109" max="13109" width="7.42578125" style="2" customWidth="1"/>
    <col min="13110" max="13111" width="9.140625" style="2" bestFit="1" customWidth="1"/>
    <col min="13112" max="13112" width="9.140625" style="2" customWidth="1"/>
    <col min="13113" max="13113" width="9.140625" style="2" bestFit="1" customWidth="1"/>
    <col min="13114" max="13114" width="5.7109375" style="2" customWidth="1"/>
    <col min="13115" max="13115" width="7.85546875" style="2" customWidth="1"/>
    <col min="13116" max="13116" width="6.85546875" style="2" customWidth="1"/>
    <col min="13117" max="13117" width="4" style="2" customWidth="1"/>
    <col min="13118" max="13118" width="7" style="2" customWidth="1"/>
    <col min="13119" max="13119" width="7.85546875" style="2" customWidth="1"/>
    <col min="13120" max="13120" width="6.85546875" style="2" customWidth="1"/>
    <col min="13121" max="13121" width="7.140625" style="2" customWidth="1"/>
    <col min="13122" max="13122" width="9.5703125" style="2" customWidth="1"/>
    <col min="13123" max="13123" width="9.42578125" style="2" customWidth="1"/>
    <col min="13124" max="13124" width="9" style="2" customWidth="1"/>
    <col min="13125" max="13125" width="9.85546875" style="2" customWidth="1"/>
    <col min="13126" max="13126" width="5.42578125" style="2" customWidth="1"/>
    <col min="13127" max="13295" width="9.85546875" style="2"/>
    <col min="13296" max="13296" width="27.85546875" style="2" customWidth="1"/>
    <col min="13297" max="13297" width="5.7109375" style="2" customWidth="1"/>
    <col min="13298" max="13298" width="9.85546875" style="2" customWidth="1"/>
    <col min="13299" max="13299" width="9.140625" style="2" customWidth="1"/>
    <col min="13300" max="13305" width="9.140625" style="2" bestFit="1" customWidth="1"/>
    <col min="13306" max="13306" width="7.5703125" style="2" customWidth="1"/>
    <col min="13307" max="13307" width="8.7109375" style="2" customWidth="1"/>
    <col min="13308" max="13308" width="7.7109375" style="2" customWidth="1"/>
    <col min="13309" max="13309" width="9.140625" style="2" bestFit="1" customWidth="1"/>
    <col min="13310" max="13310" width="8" style="2" customWidth="1"/>
    <col min="13311" max="13311" width="8.42578125" style="2" bestFit="1" customWidth="1"/>
    <col min="13312" max="13312" width="6.5703125" style="2" bestFit="1" customWidth="1"/>
    <col min="13313" max="13313" width="10" style="2" customWidth="1"/>
    <col min="13314" max="13314" width="9.140625" style="2" customWidth="1"/>
    <col min="13315" max="13315" width="9" style="2" customWidth="1"/>
    <col min="13316" max="13316" width="10.42578125" style="2" customWidth="1"/>
    <col min="13317" max="13317" width="8.42578125" style="2" customWidth="1"/>
    <col min="13318" max="13318" width="9.5703125" style="2" customWidth="1"/>
    <col min="13319" max="13319" width="9.42578125" style="2" customWidth="1"/>
    <col min="13320" max="13320" width="8.5703125" style="2" customWidth="1"/>
    <col min="13321" max="13321" width="9.140625" style="2" customWidth="1"/>
    <col min="13322" max="13322" width="8.140625" style="2" customWidth="1"/>
    <col min="13323" max="13323" width="8.85546875" style="2" customWidth="1"/>
    <col min="13324" max="13324" width="8.140625" style="2" customWidth="1"/>
    <col min="13325" max="13325" width="8.85546875" style="2" customWidth="1"/>
    <col min="13326" max="13327" width="9.28515625" style="2" customWidth="1"/>
    <col min="13328" max="13328" width="8.42578125" style="2" customWidth="1"/>
    <col min="13329" max="13329" width="8.140625" style="2" customWidth="1"/>
    <col min="13330" max="13330" width="6" style="2" bestFit="1" customWidth="1"/>
    <col min="13331" max="13331" width="7.85546875" style="2" bestFit="1" customWidth="1"/>
    <col min="13332" max="13332" width="5.85546875" style="2" bestFit="1" customWidth="1"/>
    <col min="13333" max="13333" width="6.85546875" style="2" bestFit="1" customWidth="1"/>
    <col min="13334" max="13334" width="6" style="2" bestFit="1" customWidth="1"/>
    <col min="13335" max="13335" width="7.85546875" style="2" bestFit="1" customWidth="1"/>
    <col min="13336" max="13336" width="8.5703125" style="2" customWidth="1"/>
    <col min="13337" max="13337" width="6.85546875" style="2" bestFit="1" customWidth="1"/>
    <col min="13338" max="13338" width="7.5703125" style="2" customWidth="1"/>
    <col min="13339" max="13339" width="8.42578125" style="2" customWidth="1"/>
    <col min="13340" max="13340" width="8" style="2" customWidth="1"/>
    <col min="13341" max="13341" width="8.7109375" style="2" customWidth="1"/>
    <col min="13342" max="13342" width="9.42578125" style="2" customWidth="1"/>
    <col min="13343" max="13343" width="9.7109375" style="2" customWidth="1"/>
    <col min="13344" max="13344" width="10.28515625" style="2" customWidth="1"/>
    <col min="13345" max="13345" width="10" style="2" customWidth="1"/>
    <col min="13346" max="13347" width="8" style="2" customWidth="1"/>
    <col min="13348" max="13348" width="7.42578125" style="2" customWidth="1"/>
    <col min="13349" max="13349" width="7.85546875" style="2" customWidth="1"/>
    <col min="13350" max="13350" width="7.5703125" style="2" bestFit="1" customWidth="1"/>
    <col min="13351" max="13351" width="7.85546875" style="2" bestFit="1" customWidth="1"/>
    <col min="13352" max="13352" width="8.7109375" style="2" customWidth="1"/>
    <col min="13353" max="13353" width="9.42578125" style="2" customWidth="1"/>
    <col min="13354" max="13354" width="8.42578125" style="2" customWidth="1"/>
    <col min="13355" max="13355" width="8" style="2" customWidth="1"/>
    <col min="13356" max="13356" width="6.7109375" style="2" customWidth="1"/>
    <col min="13357" max="13357" width="8" style="2" customWidth="1"/>
    <col min="13358" max="13361" width="0" style="2" hidden="1" customWidth="1"/>
    <col min="13362" max="13362" width="8" style="2" customWidth="1"/>
    <col min="13363" max="13363" width="8.28515625" style="2" customWidth="1"/>
    <col min="13364" max="13364" width="8.42578125" style="2" customWidth="1"/>
    <col min="13365" max="13365" width="7.42578125" style="2" customWidth="1"/>
    <col min="13366" max="13367" width="9.140625" style="2" bestFit="1" customWidth="1"/>
    <col min="13368" max="13368" width="9.140625" style="2" customWidth="1"/>
    <col min="13369" max="13369" width="9.140625" style="2" bestFit="1" customWidth="1"/>
    <col min="13370" max="13370" width="5.7109375" style="2" customWidth="1"/>
    <col min="13371" max="13371" width="7.85546875" style="2" customWidth="1"/>
    <col min="13372" max="13372" width="6.85546875" style="2" customWidth="1"/>
    <col min="13373" max="13373" width="4" style="2" customWidth="1"/>
    <col min="13374" max="13374" width="7" style="2" customWidth="1"/>
    <col min="13375" max="13375" width="7.85546875" style="2" customWidth="1"/>
    <col min="13376" max="13376" width="6.85546875" style="2" customWidth="1"/>
    <col min="13377" max="13377" width="7.140625" style="2" customWidth="1"/>
    <col min="13378" max="13378" width="9.5703125" style="2" customWidth="1"/>
    <col min="13379" max="13379" width="9.42578125" style="2" customWidth="1"/>
    <col min="13380" max="13380" width="9" style="2" customWidth="1"/>
    <col min="13381" max="13381" width="9.85546875" style="2" customWidth="1"/>
    <col min="13382" max="13382" width="5.42578125" style="2" customWidth="1"/>
    <col min="13383" max="13551" width="9.85546875" style="2"/>
    <col min="13552" max="13552" width="27.85546875" style="2" customWidth="1"/>
    <col min="13553" max="13553" width="5.7109375" style="2" customWidth="1"/>
    <col min="13554" max="13554" width="9.85546875" style="2" customWidth="1"/>
    <col min="13555" max="13555" width="9.140625" style="2" customWidth="1"/>
    <col min="13556" max="13561" width="9.140625" style="2" bestFit="1" customWidth="1"/>
    <col min="13562" max="13562" width="7.5703125" style="2" customWidth="1"/>
    <col min="13563" max="13563" width="8.7109375" style="2" customWidth="1"/>
    <col min="13564" max="13564" width="7.7109375" style="2" customWidth="1"/>
    <col min="13565" max="13565" width="9.140625" style="2" bestFit="1" customWidth="1"/>
    <col min="13566" max="13566" width="8" style="2" customWidth="1"/>
    <col min="13567" max="13567" width="8.42578125" style="2" bestFit="1" customWidth="1"/>
    <col min="13568" max="13568" width="6.5703125" style="2" bestFit="1" customWidth="1"/>
    <col min="13569" max="13569" width="10" style="2" customWidth="1"/>
    <col min="13570" max="13570" width="9.140625" style="2" customWidth="1"/>
    <col min="13571" max="13571" width="9" style="2" customWidth="1"/>
    <col min="13572" max="13572" width="10.42578125" style="2" customWidth="1"/>
    <col min="13573" max="13573" width="8.42578125" style="2" customWidth="1"/>
    <col min="13574" max="13574" width="9.5703125" style="2" customWidth="1"/>
    <col min="13575" max="13575" width="9.42578125" style="2" customWidth="1"/>
    <col min="13576" max="13576" width="8.5703125" style="2" customWidth="1"/>
    <col min="13577" max="13577" width="9.140625" style="2" customWidth="1"/>
    <col min="13578" max="13578" width="8.140625" style="2" customWidth="1"/>
    <col min="13579" max="13579" width="8.85546875" style="2" customWidth="1"/>
    <col min="13580" max="13580" width="8.140625" style="2" customWidth="1"/>
    <col min="13581" max="13581" width="8.85546875" style="2" customWidth="1"/>
    <col min="13582" max="13583" width="9.28515625" style="2" customWidth="1"/>
    <col min="13584" max="13584" width="8.42578125" style="2" customWidth="1"/>
    <col min="13585" max="13585" width="8.140625" style="2" customWidth="1"/>
    <col min="13586" max="13586" width="6" style="2" bestFit="1" customWidth="1"/>
    <col min="13587" max="13587" width="7.85546875" style="2" bestFit="1" customWidth="1"/>
    <col min="13588" max="13588" width="5.85546875" style="2" bestFit="1" customWidth="1"/>
    <col min="13589" max="13589" width="6.85546875" style="2" bestFit="1" customWidth="1"/>
    <col min="13590" max="13590" width="6" style="2" bestFit="1" customWidth="1"/>
    <col min="13591" max="13591" width="7.85546875" style="2" bestFit="1" customWidth="1"/>
    <col min="13592" max="13592" width="8.5703125" style="2" customWidth="1"/>
    <col min="13593" max="13593" width="6.85546875" style="2" bestFit="1" customWidth="1"/>
    <col min="13594" max="13594" width="7.5703125" style="2" customWidth="1"/>
    <col min="13595" max="13595" width="8.42578125" style="2" customWidth="1"/>
    <col min="13596" max="13596" width="8" style="2" customWidth="1"/>
    <col min="13597" max="13597" width="8.7109375" style="2" customWidth="1"/>
    <col min="13598" max="13598" width="9.42578125" style="2" customWidth="1"/>
    <col min="13599" max="13599" width="9.7109375" style="2" customWidth="1"/>
    <col min="13600" max="13600" width="10.28515625" style="2" customWidth="1"/>
    <col min="13601" max="13601" width="10" style="2" customWidth="1"/>
    <col min="13602" max="13603" width="8" style="2" customWidth="1"/>
    <col min="13604" max="13604" width="7.42578125" style="2" customWidth="1"/>
    <col min="13605" max="13605" width="7.85546875" style="2" customWidth="1"/>
    <col min="13606" max="13606" width="7.5703125" style="2" bestFit="1" customWidth="1"/>
    <col min="13607" max="13607" width="7.85546875" style="2" bestFit="1" customWidth="1"/>
    <col min="13608" max="13608" width="8.7109375" style="2" customWidth="1"/>
    <col min="13609" max="13609" width="9.42578125" style="2" customWidth="1"/>
    <col min="13610" max="13610" width="8.42578125" style="2" customWidth="1"/>
    <col min="13611" max="13611" width="8" style="2" customWidth="1"/>
    <col min="13612" max="13612" width="6.7109375" style="2" customWidth="1"/>
    <col min="13613" max="13613" width="8" style="2" customWidth="1"/>
    <col min="13614" max="13617" width="0" style="2" hidden="1" customWidth="1"/>
    <col min="13618" max="13618" width="8" style="2" customWidth="1"/>
    <col min="13619" max="13619" width="8.28515625" style="2" customWidth="1"/>
    <col min="13620" max="13620" width="8.42578125" style="2" customWidth="1"/>
    <col min="13621" max="13621" width="7.42578125" style="2" customWidth="1"/>
    <col min="13622" max="13623" width="9.140625" style="2" bestFit="1" customWidth="1"/>
    <col min="13624" max="13624" width="9.140625" style="2" customWidth="1"/>
    <col min="13625" max="13625" width="9.140625" style="2" bestFit="1" customWidth="1"/>
    <col min="13626" max="13626" width="5.7109375" style="2" customWidth="1"/>
    <col min="13627" max="13627" width="7.85546875" style="2" customWidth="1"/>
    <col min="13628" max="13628" width="6.85546875" style="2" customWidth="1"/>
    <col min="13629" max="13629" width="4" style="2" customWidth="1"/>
    <col min="13630" max="13630" width="7" style="2" customWidth="1"/>
    <col min="13631" max="13631" width="7.85546875" style="2" customWidth="1"/>
    <col min="13632" max="13632" width="6.85546875" style="2" customWidth="1"/>
    <col min="13633" max="13633" width="7.140625" style="2" customWidth="1"/>
    <col min="13634" max="13634" width="9.5703125" style="2" customWidth="1"/>
    <col min="13635" max="13635" width="9.42578125" style="2" customWidth="1"/>
    <col min="13636" max="13636" width="9" style="2" customWidth="1"/>
    <col min="13637" max="13637" width="9.85546875" style="2" customWidth="1"/>
    <col min="13638" max="13638" width="5.42578125" style="2" customWidth="1"/>
    <col min="13639" max="13807" width="9.85546875" style="2"/>
    <col min="13808" max="13808" width="27.85546875" style="2" customWidth="1"/>
    <col min="13809" max="13809" width="5.7109375" style="2" customWidth="1"/>
    <col min="13810" max="13810" width="9.85546875" style="2" customWidth="1"/>
    <col min="13811" max="13811" width="9.140625" style="2" customWidth="1"/>
    <col min="13812" max="13817" width="9.140625" style="2" bestFit="1" customWidth="1"/>
    <col min="13818" max="13818" width="7.5703125" style="2" customWidth="1"/>
    <col min="13819" max="13819" width="8.7109375" style="2" customWidth="1"/>
    <col min="13820" max="13820" width="7.7109375" style="2" customWidth="1"/>
    <col min="13821" max="13821" width="9.140625" style="2" bestFit="1" customWidth="1"/>
    <col min="13822" max="13822" width="8" style="2" customWidth="1"/>
    <col min="13823" max="13823" width="8.42578125" style="2" bestFit="1" customWidth="1"/>
    <col min="13824" max="13824" width="6.5703125" style="2" bestFit="1" customWidth="1"/>
    <col min="13825" max="13825" width="10" style="2" customWidth="1"/>
    <col min="13826" max="13826" width="9.140625" style="2" customWidth="1"/>
    <col min="13827" max="13827" width="9" style="2" customWidth="1"/>
    <col min="13828" max="13828" width="10.42578125" style="2" customWidth="1"/>
    <col min="13829" max="13829" width="8.42578125" style="2" customWidth="1"/>
    <col min="13830" max="13830" width="9.5703125" style="2" customWidth="1"/>
    <col min="13831" max="13831" width="9.42578125" style="2" customWidth="1"/>
    <col min="13832" max="13832" width="8.5703125" style="2" customWidth="1"/>
    <col min="13833" max="13833" width="9.140625" style="2" customWidth="1"/>
    <col min="13834" max="13834" width="8.140625" style="2" customWidth="1"/>
    <col min="13835" max="13835" width="8.85546875" style="2" customWidth="1"/>
    <col min="13836" max="13836" width="8.140625" style="2" customWidth="1"/>
    <col min="13837" max="13837" width="8.85546875" style="2" customWidth="1"/>
    <col min="13838" max="13839" width="9.28515625" style="2" customWidth="1"/>
    <col min="13840" max="13840" width="8.42578125" style="2" customWidth="1"/>
    <col min="13841" max="13841" width="8.140625" style="2" customWidth="1"/>
    <col min="13842" max="13842" width="6" style="2" bestFit="1" customWidth="1"/>
    <col min="13843" max="13843" width="7.85546875" style="2" bestFit="1" customWidth="1"/>
    <col min="13844" max="13844" width="5.85546875" style="2" bestFit="1" customWidth="1"/>
    <col min="13845" max="13845" width="6.85546875" style="2" bestFit="1" customWidth="1"/>
    <col min="13846" max="13846" width="6" style="2" bestFit="1" customWidth="1"/>
    <col min="13847" max="13847" width="7.85546875" style="2" bestFit="1" customWidth="1"/>
    <col min="13848" max="13848" width="8.5703125" style="2" customWidth="1"/>
    <col min="13849" max="13849" width="6.85546875" style="2" bestFit="1" customWidth="1"/>
    <col min="13850" max="13850" width="7.5703125" style="2" customWidth="1"/>
    <col min="13851" max="13851" width="8.42578125" style="2" customWidth="1"/>
    <col min="13852" max="13852" width="8" style="2" customWidth="1"/>
    <col min="13853" max="13853" width="8.7109375" style="2" customWidth="1"/>
    <col min="13854" max="13854" width="9.42578125" style="2" customWidth="1"/>
    <col min="13855" max="13855" width="9.7109375" style="2" customWidth="1"/>
    <col min="13856" max="13856" width="10.28515625" style="2" customWidth="1"/>
    <col min="13857" max="13857" width="10" style="2" customWidth="1"/>
    <col min="13858" max="13859" width="8" style="2" customWidth="1"/>
    <col min="13860" max="13860" width="7.42578125" style="2" customWidth="1"/>
    <col min="13861" max="13861" width="7.85546875" style="2" customWidth="1"/>
    <col min="13862" max="13862" width="7.5703125" style="2" bestFit="1" customWidth="1"/>
    <col min="13863" max="13863" width="7.85546875" style="2" bestFit="1" customWidth="1"/>
    <col min="13864" max="13864" width="8.7109375" style="2" customWidth="1"/>
    <col min="13865" max="13865" width="9.42578125" style="2" customWidth="1"/>
    <col min="13866" max="13866" width="8.42578125" style="2" customWidth="1"/>
    <col min="13867" max="13867" width="8" style="2" customWidth="1"/>
    <col min="13868" max="13868" width="6.7109375" style="2" customWidth="1"/>
    <col min="13869" max="13869" width="8" style="2" customWidth="1"/>
    <col min="13870" max="13873" width="0" style="2" hidden="1" customWidth="1"/>
    <col min="13874" max="13874" width="8" style="2" customWidth="1"/>
    <col min="13875" max="13875" width="8.28515625" style="2" customWidth="1"/>
    <col min="13876" max="13876" width="8.42578125" style="2" customWidth="1"/>
    <col min="13877" max="13877" width="7.42578125" style="2" customWidth="1"/>
    <col min="13878" max="13879" width="9.140625" style="2" bestFit="1" customWidth="1"/>
    <col min="13880" max="13880" width="9.140625" style="2" customWidth="1"/>
    <col min="13881" max="13881" width="9.140625" style="2" bestFit="1" customWidth="1"/>
    <col min="13882" max="13882" width="5.7109375" style="2" customWidth="1"/>
    <col min="13883" max="13883" width="7.85546875" style="2" customWidth="1"/>
    <col min="13884" max="13884" width="6.85546875" style="2" customWidth="1"/>
    <col min="13885" max="13885" width="4" style="2" customWidth="1"/>
    <col min="13886" max="13886" width="7" style="2" customWidth="1"/>
    <col min="13887" max="13887" width="7.85546875" style="2" customWidth="1"/>
    <col min="13888" max="13888" width="6.85546875" style="2" customWidth="1"/>
    <col min="13889" max="13889" width="7.140625" style="2" customWidth="1"/>
    <col min="13890" max="13890" width="9.5703125" style="2" customWidth="1"/>
    <col min="13891" max="13891" width="9.42578125" style="2" customWidth="1"/>
    <col min="13892" max="13892" width="9" style="2" customWidth="1"/>
    <col min="13893" max="13893" width="9.85546875" style="2" customWidth="1"/>
    <col min="13894" max="13894" width="5.42578125" style="2" customWidth="1"/>
    <col min="13895" max="14063" width="9.85546875" style="2"/>
    <col min="14064" max="14064" width="27.85546875" style="2" customWidth="1"/>
    <col min="14065" max="14065" width="5.7109375" style="2" customWidth="1"/>
    <col min="14066" max="14066" width="9.85546875" style="2" customWidth="1"/>
    <col min="14067" max="14067" width="9.140625" style="2" customWidth="1"/>
    <col min="14068" max="14073" width="9.140625" style="2" bestFit="1" customWidth="1"/>
    <col min="14074" max="14074" width="7.5703125" style="2" customWidth="1"/>
    <col min="14075" max="14075" width="8.7109375" style="2" customWidth="1"/>
    <col min="14076" max="14076" width="7.7109375" style="2" customWidth="1"/>
    <col min="14077" max="14077" width="9.140625" style="2" bestFit="1" customWidth="1"/>
    <col min="14078" max="14078" width="8" style="2" customWidth="1"/>
    <col min="14079" max="14079" width="8.42578125" style="2" bestFit="1" customWidth="1"/>
    <col min="14080" max="14080" width="6.5703125" style="2" bestFit="1" customWidth="1"/>
    <col min="14081" max="14081" width="10" style="2" customWidth="1"/>
    <col min="14082" max="14082" width="9.140625" style="2" customWidth="1"/>
    <col min="14083" max="14083" width="9" style="2" customWidth="1"/>
    <col min="14084" max="14084" width="10.42578125" style="2" customWidth="1"/>
    <col min="14085" max="14085" width="8.42578125" style="2" customWidth="1"/>
    <col min="14086" max="14086" width="9.5703125" style="2" customWidth="1"/>
    <col min="14087" max="14087" width="9.42578125" style="2" customWidth="1"/>
    <col min="14088" max="14088" width="8.5703125" style="2" customWidth="1"/>
    <col min="14089" max="14089" width="9.140625" style="2" customWidth="1"/>
    <col min="14090" max="14090" width="8.140625" style="2" customWidth="1"/>
    <col min="14091" max="14091" width="8.85546875" style="2" customWidth="1"/>
    <col min="14092" max="14092" width="8.140625" style="2" customWidth="1"/>
    <col min="14093" max="14093" width="8.85546875" style="2" customWidth="1"/>
    <col min="14094" max="14095" width="9.28515625" style="2" customWidth="1"/>
    <col min="14096" max="14096" width="8.42578125" style="2" customWidth="1"/>
    <col min="14097" max="14097" width="8.140625" style="2" customWidth="1"/>
    <col min="14098" max="14098" width="6" style="2" bestFit="1" customWidth="1"/>
    <col min="14099" max="14099" width="7.85546875" style="2" bestFit="1" customWidth="1"/>
    <col min="14100" max="14100" width="5.85546875" style="2" bestFit="1" customWidth="1"/>
    <col min="14101" max="14101" width="6.85546875" style="2" bestFit="1" customWidth="1"/>
    <col min="14102" max="14102" width="6" style="2" bestFit="1" customWidth="1"/>
    <col min="14103" max="14103" width="7.85546875" style="2" bestFit="1" customWidth="1"/>
    <col min="14104" max="14104" width="8.5703125" style="2" customWidth="1"/>
    <col min="14105" max="14105" width="6.85546875" style="2" bestFit="1" customWidth="1"/>
    <col min="14106" max="14106" width="7.5703125" style="2" customWidth="1"/>
    <col min="14107" max="14107" width="8.42578125" style="2" customWidth="1"/>
    <col min="14108" max="14108" width="8" style="2" customWidth="1"/>
    <col min="14109" max="14109" width="8.7109375" style="2" customWidth="1"/>
    <col min="14110" max="14110" width="9.42578125" style="2" customWidth="1"/>
    <col min="14111" max="14111" width="9.7109375" style="2" customWidth="1"/>
    <col min="14112" max="14112" width="10.28515625" style="2" customWidth="1"/>
    <col min="14113" max="14113" width="10" style="2" customWidth="1"/>
    <col min="14114" max="14115" width="8" style="2" customWidth="1"/>
    <col min="14116" max="14116" width="7.42578125" style="2" customWidth="1"/>
    <col min="14117" max="14117" width="7.85546875" style="2" customWidth="1"/>
    <col min="14118" max="14118" width="7.5703125" style="2" bestFit="1" customWidth="1"/>
    <col min="14119" max="14119" width="7.85546875" style="2" bestFit="1" customWidth="1"/>
    <col min="14120" max="14120" width="8.7109375" style="2" customWidth="1"/>
    <col min="14121" max="14121" width="9.42578125" style="2" customWidth="1"/>
    <col min="14122" max="14122" width="8.42578125" style="2" customWidth="1"/>
    <col min="14123" max="14123" width="8" style="2" customWidth="1"/>
    <col min="14124" max="14124" width="6.7109375" style="2" customWidth="1"/>
    <col min="14125" max="14125" width="8" style="2" customWidth="1"/>
    <col min="14126" max="14129" width="0" style="2" hidden="1" customWidth="1"/>
    <col min="14130" max="14130" width="8" style="2" customWidth="1"/>
    <col min="14131" max="14131" width="8.28515625" style="2" customWidth="1"/>
    <col min="14132" max="14132" width="8.42578125" style="2" customWidth="1"/>
    <col min="14133" max="14133" width="7.42578125" style="2" customWidth="1"/>
    <col min="14134" max="14135" width="9.140625" style="2" bestFit="1" customWidth="1"/>
    <col min="14136" max="14136" width="9.140625" style="2" customWidth="1"/>
    <col min="14137" max="14137" width="9.140625" style="2" bestFit="1" customWidth="1"/>
    <col min="14138" max="14138" width="5.7109375" style="2" customWidth="1"/>
    <col min="14139" max="14139" width="7.85546875" style="2" customWidth="1"/>
    <col min="14140" max="14140" width="6.85546875" style="2" customWidth="1"/>
    <col min="14141" max="14141" width="4" style="2" customWidth="1"/>
    <col min="14142" max="14142" width="7" style="2" customWidth="1"/>
    <col min="14143" max="14143" width="7.85546875" style="2" customWidth="1"/>
    <col min="14144" max="14144" width="6.85546875" style="2" customWidth="1"/>
    <col min="14145" max="14145" width="7.140625" style="2" customWidth="1"/>
    <col min="14146" max="14146" width="9.5703125" style="2" customWidth="1"/>
    <col min="14147" max="14147" width="9.42578125" style="2" customWidth="1"/>
    <col min="14148" max="14148" width="9" style="2" customWidth="1"/>
    <col min="14149" max="14149" width="9.85546875" style="2" customWidth="1"/>
    <col min="14150" max="14150" width="5.42578125" style="2" customWidth="1"/>
    <col min="14151" max="14319" width="9.85546875" style="2"/>
    <col min="14320" max="14320" width="27.85546875" style="2" customWidth="1"/>
    <col min="14321" max="14321" width="5.7109375" style="2" customWidth="1"/>
    <col min="14322" max="14322" width="9.85546875" style="2" customWidth="1"/>
    <col min="14323" max="14323" width="9.140625" style="2" customWidth="1"/>
    <col min="14324" max="14329" width="9.140625" style="2" bestFit="1" customWidth="1"/>
    <col min="14330" max="14330" width="7.5703125" style="2" customWidth="1"/>
    <col min="14331" max="14331" width="8.7109375" style="2" customWidth="1"/>
    <col min="14332" max="14332" width="7.7109375" style="2" customWidth="1"/>
    <col min="14333" max="14333" width="9.140625" style="2" bestFit="1" customWidth="1"/>
    <col min="14334" max="14334" width="8" style="2" customWidth="1"/>
    <col min="14335" max="14335" width="8.42578125" style="2" bestFit="1" customWidth="1"/>
    <col min="14336" max="14336" width="6.5703125" style="2" bestFit="1" customWidth="1"/>
    <col min="14337" max="14337" width="10" style="2" customWidth="1"/>
    <col min="14338" max="14338" width="9.140625" style="2" customWidth="1"/>
    <col min="14339" max="14339" width="9" style="2" customWidth="1"/>
    <col min="14340" max="14340" width="10.42578125" style="2" customWidth="1"/>
    <col min="14341" max="14341" width="8.42578125" style="2" customWidth="1"/>
    <col min="14342" max="14342" width="9.5703125" style="2" customWidth="1"/>
    <col min="14343" max="14343" width="9.42578125" style="2" customWidth="1"/>
    <col min="14344" max="14344" width="8.5703125" style="2" customWidth="1"/>
    <col min="14345" max="14345" width="9.140625" style="2" customWidth="1"/>
    <col min="14346" max="14346" width="8.140625" style="2" customWidth="1"/>
    <col min="14347" max="14347" width="8.85546875" style="2" customWidth="1"/>
    <col min="14348" max="14348" width="8.140625" style="2" customWidth="1"/>
    <col min="14349" max="14349" width="8.85546875" style="2" customWidth="1"/>
    <col min="14350" max="14351" width="9.28515625" style="2" customWidth="1"/>
    <col min="14352" max="14352" width="8.42578125" style="2" customWidth="1"/>
    <col min="14353" max="14353" width="8.140625" style="2" customWidth="1"/>
    <col min="14354" max="14354" width="6" style="2" bestFit="1" customWidth="1"/>
    <col min="14355" max="14355" width="7.85546875" style="2" bestFit="1" customWidth="1"/>
    <col min="14356" max="14356" width="5.85546875" style="2" bestFit="1" customWidth="1"/>
    <col min="14357" max="14357" width="6.85546875" style="2" bestFit="1" customWidth="1"/>
    <col min="14358" max="14358" width="6" style="2" bestFit="1" customWidth="1"/>
    <col min="14359" max="14359" width="7.85546875" style="2" bestFit="1" customWidth="1"/>
    <col min="14360" max="14360" width="8.5703125" style="2" customWidth="1"/>
    <col min="14361" max="14361" width="6.85546875" style="2" bestFit="1" customWidth="1"/>
    <col min="14362" max="14362" width="7.5703125" style="2" customWidth="1"/>
    <col min="14363" max="14363" width="8.42578125" style="2" customWidth="1"/>
    <col min="14364" max="14364" width="8" style="2" customWidth="1"/>
    <col min="14365" max="14365" width="8.7109375" style="2" customWidth="1"/>
    <col min="14366" max="14366" width="9.42578125" style="2" customWidth="1"/>
    <col min="14367" max="14367" width="9.7109375" style="2" customWidth="1"/>
    <col min="14368" max="14368" width="10.28515625" style="2" customWidth="1"/>
    <col min="14369" max="14369" width="10" style="2" customWidth="1"/>
    <col min="14370" max="14371" width="8" style="2" customWidth="1"/>
    <col min="14372" max="14372" width="7.42578125" style="2" customWidth="1"/>
    <col min="14373" max="14373" width="7.85546875" style="2" customWidth="1"/>
    <col min="14374" max="14374" width="7.5703125" style="2" bestFit="1" customWidth="1"/>
    <col min="14375" max="14375" width="7.85546875" style="2" bestFit="1" customWidth="1"/>
    <col min="14376" max="14376" width="8.7109375" style="2" customWidth="1"/>
    <col min="14377" max="14377" width="9.42578125" style="2" customWidth="1"/>
    <col min="14378" max="14378" width="8.42578125" style="2" customWidth="1"/>
    <col min="14379" max="14379" width="8" style="2" customWidth="1"/>
    <col min="14380" max="14380" width="6.7109375" style="2" customWidth="1"/>
    <col min="14381" max="14381" width="8" style="2" customWidth="1"/>
    <col min="14382" max="14385" width="0" style="2" hidden="1" customWidth="1"/>
    <col min="14386" max="14386" width="8" style="2" customWidth="1"/>
    <col min="14387" max="14387" width="8.28515625" style="2" customWidth="1"/>
    <col min="14388" max="14388" width="8.42578125" style="2" customWidth="1"/>
    <col min="14389" max="14389" width="7.42578125" style="2" customWidth="1"/>
    <col min="14390" max="14391" width="9.140625" style="2" bestFit="1" customWidth="1"/>
    <col min="14392" max="14392" width="9.140625" style="2" customWidth="1"/>
    <col min="14393" max="14393" width="9.140625" style="2" bestFit="1" customWidth="1"/>
    <col min="14394" max="14394" width="5.7109375" style="2" customWidth="1"/>
    <col min="14395" max="14395" width="7.85546875" style="2" customWidth="1"/>
    <col min="14396" max="14396" width="6.85546875" style="2" customWidth="1"/>
    <col min="14397" max="14397" width="4" style="2" customWidth="1"/>
    <col min="14398" max="14398" width="7" style="2" customWidth="1"/>
    <col min="14399" max="14399" width="7.85546875" style="2" customWidth="1"/>
    <col min="14400" max="14400" width="6.85546875" style="2" customWidth="1"/>
    <col min="14401" max="14401" width="7.140625" style="2" customWidth="1"/>
    <col min="14402" max="14402" width="9.5703125" style="2" customWidth="1"/>
    <col min="14403" max="14403" width="9.42578125" style="2" customWidth="1"/>
    <col min="14404" max="14404" width="9" style="2" customWidth="1"/>
    <col min="14405" max="14405" width="9.85546875" style="2" customWidth="1"/>
    <col min="14406" max="14406" width="5.42578125" style="2" customWidth="1"/>
    <col min="14407" max="14575" width="9.85546875" style="2"/>
    <col min="14576" max="14576" width="27.85546875" style="2" customWidth="1"/>
    <col min="14577" max="14577" width="5.7109375" style="2" customWidth="1"/>
    <col min="14578" max="14578" width="9.85546875" style="2" customWidth="1"/>
    <col min="14579" max="14579" width="9.140625" style="2" customWidth="1"/>
    <col min="14580" max="14585" width="9.140625" style="2" bestFit="1" customWidth="1"/>
    <col min="14586" max="14586" width="7.5703125" style="2" customWidth="1"/>
    <col min="14587" max="14587" width="8.7109375" style="2" customWidth="1"/>
    <col min="14588" max="14588" width="7.7109375" style="2" customWidth="1"/>
    <col min="14589" max="14589" width="9.140625" style="2" bestFit="1" customWidth="1"/>
    <col min="14590" max="14590" width="8" style="2" customWidth="1"/>
    <col min="14591" max="14591" width="8.42578125" style="2" bestFit="1" customWidth="1"/>
    <col min="14592" max="14592" width="6.5703125" style="2" bestFit="1" customWidth="1"/>
    <col min="14593" max="14593" width="10" style="2" customWidth="1"/>
    <col min="14594" max="14594" width="9.140625" style="2" customWidth="1"/>
    <col min="14595" max="14595" width="9" style="2" customWidth="1"/>
    <col min="14596" max="14596" width="10.42578125" style="2" customWidth="1"/>
    <col min="14597" max="14597" width="8.42578125" style="2" customWidth="1"/>
    <col min="14598" max="14598" width="9.5703125" style="2" customWidth="1"/>
    <col min="14599" max="14599" width="9.42578125" style="2" customWidth="1"/>
    <col min="14600" max="14600" width="8.5703125" style="2" customWidth="1"/>
    <col min="14601" max="14601" width="9.140625" style="2" customWidth="1"/>
    <col min="14602" max="14602" width="8.140625" style="2" customWidth="1"/>
    <col min="14603" max="14603" width="8.85546875" style="2" customWidth="1"/>
    <col min="14604" max="14604" width="8.140625" style="2" customWidth="1"/>
    <col min="14605" max="14605" width="8.85546875" style="2" customWidth="1"/>
    <col min="14606" max="14607" width="9.28515625" style="2" customWidth="1"/>
    <col min="14608" max="14608" width="8.42578125" style="2" customWidth="1"/>
    <col min="14609" max="14609" width="8.140625" style="2" customWidth="1"/>
    <col min="14610" max="14610" width="6" style="2" bestFit="1" customWidth="1"/>
    <col min="14611" max="14611" width="7.85546875" style="2" bestFit="1" customWidth="1"/>
    <col min="14612" max="14612" width="5.85546875" style="2" bestFit="1" customWidth="1"/>
    <col min="14613" max="14613" width="6.85546875" style="2" bestFit="1" customWidth="1"/>
    <col min="14614" max="14614" width="6" style="2" bestFit="1" customWidth="1"/>
    <col min="14615" max="14615" width="7.85546875" style="2" bestFit="1" customWidth="1"/>
    <col min="14616" max="14616" width="8.5703125" style="2" customWidth="1"/>
    <col min="14617" max="14617" width="6.85546875" style="2" bestFit="1" customWidth="1"/>
    <col min="14618" max="14618" width="7.5703125" style="2" customWidth="1"/>
    <col min="14619" max="14619" width="8.42578125" style="2" customWidth="1"/>
    <col min="14620" max="14620" width="8" style="2" customWidth="1"/>
    <col min="14621" max="14621" width="8.7109375" style="2" customWidth="1"/>
    <col min="14622" max="14622" width="9.42578125" style="2" customWidth="1"/>
    <col min="14623" max="14623" width="9.7109375" style="2" customWidth="1"/>
    <col min="14624" max="14624" width="10.28515625" style="2" customWidth="1"/>
    <col min="14625" max="14625" width="10" style="2" customWidth="1"/>
    <col min="14626" max="14627" width="8" style="2" customWidth="1"/>
    <col min="14628" max="14628" width="7.42578125" style="2" customWidth="1"/>
    <col min="14629" max="14629" width="7.85546875" style="2" customWidth="1"/>
    <col min="14630" max="14630" width="7.5703125" style="2" bestFit="1" customWidth="1"/>
    <col min="14631" max="14631" width="7.85546875" style="2" bestFit="1" customWidth="1"/>
    <col min="14632" max="14632" width="8.7109375" style="2" customWidth="1"/>
    <col min="14633" max="14633" width="9.42578125" style="2" customWidth="1"/>
    <col min="14634" max="14634" width="8.42578125" style="2" customWidth="1"/>
    <col min="14635" max="14635" width="8" style="2" customWidth="1"/>
    <col min="14636" max="14636" width="6.7109375" style="2" customWidth="1"/>
    <col min="14637" max="14637" width="8" style="2" customWidth="1"/>
    <col min="14638" max="14641" width="0" style="2" hidden="1" customWidth="1"/>
    <col min="14642" max="14642" width="8" style="2" customWidth="1"/>
    <col min="14643" max="14643" width="8.28515625" style="2" customWidth="1"/>
    <col min="14644" max="14644" width="8.42578125" style="2" customWidth="1"/>
    <col min="14645" max="14645" width="7.42578125" style="2" customWidth="1"/>
    <col min="14646" max="14647" width="9.140625" style="2" bestFit="1" customWidth="1"/>
    <col min="14648" max="14648" width="9.140625" style="2" customWidth="1"/>
    <col min="14649" max="14649" width="9.140625" style="2" bestFit="1" customWidth="1"/>
    <col min="14650" max="14650" width="5.7109375" style="2" customWidth="1"/>
    <col min="14651" max="14651" width="7.85546875" style="2" customWidth="1"/>
    <col min="14652" max="14652" width="6.85546875" style="2" customWidth="1"/>
    <col min="14653" max="14653" width="4" style="2" customWidth="1"/>
    <col min="14654" max="14654" width="7" style="2" customWidth="1"/>
    <col min="14655" max="14655" width="7.85546875" style="2" customWidth="1"/>
    <col min="14656" max="14656" width="6.85546875" style="2" customWidth="1"/>
    <col min="14657" max="14657" width="7.140625" style="2" customWidth="1"/>
    <col min="14658" max="14658" width="9.5703125" style="2" customWidth="1"/>
    <col min="14659" max="14659" width="9.42578125" style="2" customWidth="1"/>
    <col min="14660" max="14660" width="9" style="2" customWidth="1"/>
    <col min="14661" max="14661" width="9.85546875" style="2" customWidth="1"/>
    <col min="14662" max="14662" width="5.42578125" style="2" customWidth="1"/>
    <col min="14663" max="14831" width="9.85546875" style="2"/>
    <col min="14832" max="14832" width="27.85546875" style="2" customWidth="1"/>
    <col min="14833" max="14833" width="5.7109375" style="2" customWidth="1"/>
    <col min="14834" max="14834" width="9.85546875" style="2" customWidth="1"/>
    <col min="14835" max="14835" width="9.140625" style="2" customWidth="1"/>
    <col min="14836" max="14841" width="9.140625" style="2" bestFit="1" customWidth="1"/>
    <col min="14842" max="14842" width="7.5703125" style="2" customWidth="1"/>
    <col min="14843" max="14843" width="8.7109375" style="2" customWidth="1"/>
    <col min="14844" max="14844" width="7.7109375" style="2" customWidth="1"/>
    <col min="14845" max="14845" width="9.140625" style="2" bestFit="1" customWidth="1"/>
    <col min="14846" max="14846" width="8" style="2" customWidth="1"/>
    <col min="14847" max="14847" width="8.42578125" style="2" bestFit="1" customWidth="1"/>
    <col min="14848" max="14848" width="6.5703125" style="2" bestFit="1" customWidth="1"/>
    <col min="14849" max="14849" width="10" style="2" customWidth="1"/>
    <col min="14850" max="14850" width="9.140625" style="2" customWidth="1"/>
    <col min="14851" max="14851" width="9" style="2" customWidth="1"/>
    <col min="14852" max="14852" width="10.42578125" style="2" customWidth="1"/>
    <col min="14853" max="14853" width="8.42578125" style="2" customWidth="1"/>
    <col min="14854" max="14854" width="9.5703125" style="2" customWidth="1"/>
    <col min="14855" max="14855" width="9.42578125" style="2" customWidth="1"/>
    <col min="14856" max="14856" width="8.5703125" style="2" customWidth="1"/>
    <col min="14857" max="14857" width="9.140625" style="2" customWidth="1"/>
    <col min="14858" max="14858" width="8.140625" style="2" customWidth="1"/>
    <col min="14859" max="14859" width="8.85546875" style="2" customWidth="1"/>
    <col min="14860" max="14860" width="8.140625" style="2" customWidth="1"/>
    <col min="14861" max="14861" width="8.85546875" style="2" customWidth="1"/>
    <col min="14862" max="14863" width="9.28515625" style="2" customWidth="1"/>
    <col min="14864" max="14864" width="8.42578125" style="2" customWidth="1"/>
    <col min="14865" max="14865" width="8.140625" style="2" customWidth="1"/>
    <col min="14866" max="14866" width="6" style="2" bestFit="1" customWidth="1"/>
    <col min="14867" max="14867" width="7.85546875" style="2" bestFit="1" customWidth="1"/>
    <col min="14868" max="14868" width="5.85546875" style="2" bestFit="1" customWidth="1"/>
    <col min="14869" max="14869" width="6.85546875" style="2" bestFit="1" customWidth="1"/>
    <col min="14870" max="14870" width="6" style="2" bestFit="1" customWidth="1"/>
    <col min="14871" max="14871" width="7.85546875" style="2" bestFit="1" customWidth="1"/>
    <col min="14872" max="14872" width="8.5703125" style="2" customWidth="1"/>
    <col min="14873" max="14873" width="6.85546875" style="2" bestFit="1" customWidth="1"/>
    <col min="14874" max="14874" width="7.5703125" style="2" customWidth="1"/>
    <col min="14875" max="14875" width="8.42578125" style="2" customWidth="1"/>
    <col min="14876" max="14876" width="8" style="2" customWidth="1"/>
    <col min="14877" max="14877" width="8.7109375" style="2" customWidth="1"/>
    <col min="14878" max="14878" width="9.42578125" style="2" customWidth="1"/>
    <col min="14879" max="14879" width="9.7109375" style="2" customWidth="1"/>
    <col min="14880" max="14880" width="10.28515625" style="2" customWidth="1"/>
    <col min="14881" max="14881" width="10" style="2" customWidth="1"/>
    <col min="14882" max="14883" width="8" style="2" customWidth="1"/>
    <col min="14884" max="14884" width="7.42578125" style="2" customWidth="1"/>
    <col min="14885" max="14885" width="7.85546875" style="2" customWidth="1"/>
    <col min="14886" max="14886" width="7.5703125" style="2" bestFit="1" customWidth="1"/>
    <col min="14887" max="14887" width="7.85546875" style="2" bestFit="1" customWidth="1"/>
    <col min="14888" max="14888" width="8.7109375" style="2" customWidth="1"/>
    <col min="14889" max="14889" width="9.42578125" style="2" customWidth="1"/>
    <col min="14890" max="14890" width="8.42578125" style="2" customWidth="1"/>
    <col min="14891" max="14891" width="8" style="2" customWidth="1"/>
    <col min="14892" max="14892" width="6.7109375" style="2" customWidth="1"/>
    <col min="14893" max="14893" width="8" style="2" customWidth="1"/>
    <col min="14894" max="14897" width="0" style="2" hidden="1" customWidth="1"/>
    <col min="14898" max="14898" width="8" style="2" customWidth="1"/>
    <col min="14899" max="14899" width="8.28515625" style="2" customWidth="1"/>
    <col min="14900" max="14900" width="8.42578125" style="2" customWidth="1"/>
    <col min="14901" max="14901" width="7.42578125" style="2" customWidth="1"/>
    <col min="14902" max="14903" width="9.140625" style="2" bestFit="1" customWidth="1"/>
    <col min="14904" max="14904" width="9.140625" style="2" customWidth="1"/>
    <col min="14905" max="14905" width="9.140625" style="2" bestFit="1" customWidth="1"/>
    <col min="14906" max="14906" width="5.7109375" style="2" customWidth="1"/>
    <col min="14907" max="14907" width="7.85546875" style="2" customWidth="1"/>
    <col min="14908" max="14908" width="6.85546875" style="2" customWidth="1"/>
    <col min="14909" max="14909" width="4" style="2" customWidth="1"/>
    <col min="14910" max="14910" width="7" style="2" customWidth="1"/>
    <col min="14911" max="14911" width="7.85546875" style="2" customWidth="1"/>
    <col min="14912" max="14912" width="6.85546875" style="2" customWidth="1"/>
    <col min="14913" max="14913" width="7.140625" style="2" customWidth="1"/>
    <col min="14914" max="14914" width="9.5703125" style="2" customWidth="1"/>
    <col min="14915" max="14915" width="9.42578125" style="2" customWidth="1"/>
    <col min="14916" max="14916" width="9" style="2" customWidth="1"/>
    <col min="14917" max="14917" width="9.85546875" style="2" customWidth="1"/>
    <col min="14918" max="14918" width="5.42578125" style="2" customWidth="1"/>
    <col min="14919" max="15087" width="9.85546875" style="2"/>
    <col min="15088" max="15088" width="27.85546875" style="2" customWidth="1"/>
    <col min="15089" max="15089" width="5.7109375" style="2" customWidth="1"/>
    <col min="15090" max="15090" width="9.85546875" style="2" customWidth="1"/>
    <col min="15091" max="15091" width="9.140625" style="2" customWidth="1"/>
    <col min="15092" max="15097" width="9.140625" style="2" bestFit="1" customWidth="1"/>
    <col min="15098" max="15098" width="7.5703125" style="2" customWidth="1"/>
    <col min="15099" max="15099" width="8.7109375" style="2" customWidth="1"/>
    <col min="15100" max="15100" width="7.7109375" style="2" customWidth="1"/>
    <col min="15101" max="15101" width="9.140625" style="2" bestFit="1" customWidth="1"/>
    <col min="15102" max="15102" width="8" style="2" customWidth="1"/>
    <col min="15103" max="15103" width="8.42578125" style="2" bestFit="1" customWidth="1"/>
    <col min="15104" max="15104" width="6.5703125" style="2" bestFit="1" customWidth="1"/>
    <col min="15105" max="15105" width="10" style="2" customWidth="1"/>
    <col min="15106" max="15106" width="9.140625" style="2" customWidth="1"/>
    <col min="15107" max="15107" width="9" style="2" customWidth="1"/>
    <col min="15108" max="15108" width="10.42578125" style="2" customWidth="1"/>
    <col min="15109" max="15109" width="8.42578125" style="2" customWidth="1"/>
    <col min="15110" max="15110" width="9.5703125" style="2" customWidth="1"/>
    <col min="15111" max="15111" width="9.42578125" style="2" customWidth="1"/>
    <col min="15112" max="15112" width="8.5703125" style="2" customWidth="1"/>
    <col min="15113" max="15113" width="9.140625" style="2" customWidth="1"/>
    <col min="15114" max="15114" width="8.140625" style="2" customWidth="1"/>
    <col min="15115" max="15115" width="8.85546875" style="2" customWidth="1"/>
    <col min="15116" max="15116" width="8.140625" style="2" customWidth="1"/>
    <col min="15117" max="15117" width="8.85546875" style="2" customWidth="1"/>
    <col min="15118" max="15119" width="9.28515625" style="2" customWidth="1"/>
    <col min="15120" max="15120" width="8.42578125" style="2" customWidth="1"/>
    <col min="15121" max="15121" width="8.140625" style="2" customWidth="1"/>
    <col min="15122" max="15122" width="6" style="2" bestFit="1" customWidth="1"/>
    <col min="15123" max="15123" width="7.85546875" style="2" bestFit="1" customWidth="1"/>
    <col min="15124" max="15124" width="5.85546875" style="2" bestFit="1" customWidth="1"/>
    <col min="15125" max="15125" width="6.85546875" style="2" bestFit="1" customWidth="1"/>
    <col min="15126" max="15126" width="6" style="2" bestFit="1" customWidth="1"/>
    <col min="15127" max="15127" width="7.85546875" style="2" bestFit="1" customWidth="1"/>
    <col min="15128" max="15128" width="8.5703125" style="2" customWidth="1"/>
    <col min="15129" max="15129" width="6.85546875" style="2" bestFit="1" customWidth="1"/>
    <col min="15130" max="15130" width="7.5703125" style="2" customWidth="1"/>
    <col min="15131" max="15131" width="8.42578125" style="2" customWidth="1"/>
    <col min="15132" max="15132" width="8" style="2" customWidth="1"/>
    <col min="15133" max="15133" width="8.7109375" style="2" customWidth="1"/>
    <col min="15134" max="15134" width="9.42578125" style="2" customWidth="1"/>
    <col min="15135" max="15135" width="9.7109375" style="2" customWidth="1"/>
    <col min="15136" max="15136" width="10.28515625" style="2" customWidth="1"/>
    <col min="15137" max="15137" width="10" style="2" customWidth="1"/>
    <col min="15138" max="15139" width="8" style="2" customWidth="1"/>
    <col min="15140" max="15140" width="7.42578125" style="2" customWidth="1"/>
    <col min="15141" max="15141" width="7.85546875" style="2" customWidth="1"/>
    <col min="15142" max="15142" width="7.5703125" style="2" bestFit="1" customWidth="1"/>
    <col min="15143" max="15143" width="7.85546875" style="2" bestFit="1" customWidth="1"/>
    <col min="15144" max="15144" width="8.7109375" style="2" customWidth="1"/>
    <col min="15145" max="15145" width="9.42578125" style="2" customWidth="1"/>
    <col min="15146" max="15146" width="8.42578125" style="2" customWidth="1"/>
    <col min="15147" max="15147" width="8" style="2" customWidth="1"/>
    <col min="15148" max="15148" width="6.7109375" style="2" customWidth="1"/>
    <col min="15149" max="15149" width="8" style="2" customWidth="1"/>
    <col min="15150" max="15153" width="0" style="2" hidden="1" customWidth="1"/>
    <col min="15154" max="15154" width="8" style="2" customWidth="1"/>
    <col min="15155" max="15155" width="8.28515625" style="2" customWidth="1"/>
    <col min="15156" max="15156" width="8.42578125" style="2" customWidth="1"/>
    <col min="15157" max="15157" width="7.42578125" style="2" customWidth="1"/>
    <col min="15158" max="15159" width="9.140625" style="2" bestFit="1" customWidth="1"/>
    <col min="15160" max="15160" width="9.140625" style="2" customWidth="1"/>
    <col min="15161" max="15161" width="9.140625" style="2" bestFit="1" customWidth="1"/>
    <col min="15162" max="15162" width="5.7109375" style="2" customWidth="1"/>
    <col min="15163" max="15163" width="7.85546875" style="2" customWidth="1"/>
    <col min="15164" max="15164" width="6.85546875" style="2" customWidth="1"/>
    <col min="15165" max="15165" width="4" style="2" customWidth="1"/>
    <col min="15166" max="15166" width="7" style="2" customWidth="1"/>
    <col min="15167" max="15167" width="7.85546875" style="2" customWidth="1"/>
    <col min="15168" max="15168" width="6.85546875" style="2" customWidth="1"/>
    <col min="15169" max="15169" width="7.140625" style="2" customWidth="1"/>
    <col min="15170" max="15170" width="9.5703125" style="2" customWidth="1"/>
    <col min="15171" max="15171" width="9.42578125" style="2" customWidth="1"/>
    <col min="15172" max="15172" width="9" style="2" customWidth="1"/>
    <col min="15173" max="15173" width="9.85546875" style="2" customWidth="1"/>
    <col min="15174" max="15174" width="5.42578125" style="2" customWidth="1"/>
    <col min="15175" max="15343" width="9.85546875" style="2"/>
    <col min="15344" max="15344" width="27.85546875" style="2" customWidth="1"/>
    <col min="15345" max="15345" width="5.7109375" style="2" customWidth="1"/>
    <col min="15346" max="15346" width="9.85546875" style="2" customWidth="1"/>
    <col min="15347" max="15347" width="9.140625" style="2" customWidth="1"/>
    <col min="15348" max="15353" width="9.140625" style="2" bestFit="1" customWidth="1"/>
    <col min="15354" max="15354" width="7.5703125" style="2" customWidth="1"/>
    <col min="15355" max="15355" width="8.7109375" style="2" customWidth="1"/>
    <col min="15356" max="15356" width="7.7109375" style="2" customWidth="1"/>
    <col min="15357" max="15357" width="9.140625" style="2" bestFit="1" customWidth="1"/>
    <col min="15358" max="15358" width="8" style="2" customWidth="1"/>
    <col min="15359" max="15359" width="8.42578125" style="2" bestFit="1" customWidth="1"/>
    <col min="15360" max="15360" width="6.5703125" style="2" bestFit="1" customWidth="1"/>
    <col min="15361" max="15361" width="10" style="2" customWidth="1"/>
    <col min="15362" max="15362" width="9.140625" style="2" customWidth="1"/>
    <col min="15363" max="15363" width="9" style="2" customWidth="1"/>
    <col min="15364" max="15364" width="10.42578125" style="2" customWidth="1"/>
    <col min="15365" max="15365" width="8.42578125" style="2" customWidth="1"/>
    <col min="15366" max="15366" width="9.5703125" style="2" customWidth="1"/>
    <col min="15367" max="15367" width="9.42578125" style="2" customWidth="1"/>
    <col min="15368" max="15368" width="8.5703125" style="2" customWidth="1"/>
    <col min="15369" max="15369" width="9.140625" style="2" customWidth="1"/>
    <col min="15370" max="15370" width="8.140625" style="2" customWidth="1"/>
    <col min="15371" max="15371" width="8.85546875" style="2" customWidth="1"/>
    <col min="15372" max="15372" width="8.140625" style="2" customWidth="1"/>
    <col min="15373" max="15373" width="8.85546875" style="2" customWidth="1"/>
    <col min="15374" max="15375" width="9.28515625" style="2" customWidth="1"/>
    <col min="15376" max="15376" width="8.42578125" style="2" customWidth="1"/>
    <col min="15377" max="15377" width="8.140625" style="2" customWidth="1"/>
    <col min="15378" max="15378" width="6" style="2" bestFit="1" customWidth="1"/>
    <col min="15379" max="15379" width="7.85546875" style="2" bestFit="1" customWidth="1"/>
    <col min="15380" max="15380" width="5.85546875" style="2" bestFit="1" customWidth="1"/>
    <col min="15381" max="15381" width="6.85546875" style="2" bestFit="1" customWidth="1"/>
    <col min="15382" max="15382" width="6" style="2" bestFit="1" customWidth="1"/>
    <col min="15383" max="15383" width="7.85546875" style="2" bestFit="1" customWidth="1"/>
    <col min="15384" max="15384" width="8.5703125" style="2" customWidth="1"/>
    <col min="15385" max="15385" width="6.85546875" style="2" bestFit="1" customWidth="1"/>
    <col min="15386" max="15386" width="7.5703125" style="2" customWidth="1"/>
    <col min="15387" max="15387" width="8.42578125" style="2" customWidth="1"/>
    <col min="15388" max="15388" width="8" style="2" customWidth="1"/>
    <col min="15389" max="15389" width="8.7109375" style="2" customWidth="1"/>
    <col min="15390" max="15390" width="9.42578125" style="2" customWidth="1"/>
    <col min="15391" max="15391" width="9.7109375" style="2" customWidth="1"/>
    <col min="15392" max="15392" width="10.28515625" style="2" customWidth="1"/>
    <col min="15393" max="15393" width="10" style="2" customWidth="1"/>
    <col min="15394" max="15395" width="8" style="2" customWidth="1"/>
    <col min="15396" max="15396" width="7.42578125" style="2" customWidth="1"/>
    <col min="15397" max="15397" width="7.85546875" style="2" customWidth="1"/>
    <col min="15398" max="15398" width="7.5703125" style="2" bestFit="1" customWidth="1"/>
    <col min="15399" max="15399" width="7.85546875" style="2" bestFit="1" customWidth="1"/>
    <col min="15400" max="15400" width="8.7109375" style="2" customWidth="1"/>
    <col min="15401" max="15401" width="9.42578125" style="2" customWidth="1"/>
    <col min="15402" max="15402" width="8.42578125" style="2" customWidth="1"/>
    <col min="15403" max="15403" width="8" style="2" customWidth="1"/>
    <col min="15404" max="15404" width="6.7109375" style="2" customWidth="1"/>
    <col min="15405" max="15405" width="8" style="2" customWidth="1"/>
    <col min="15406" max="15409" width="0" style="2" hidden="1" customWidth="1"/>
    <col min="15410" max="15410" width="8" style="2" customWidth="1"/>
    <col min="15411" max="15411" width="8.28515625" style="2" customWidth="1"/>
    <col min="15412" max="15412" width="8.42578125" style="2" customWidth="1"/>
    <col min="15413" max="15413" width="7.42578125" style="2" customWidth="1"/>
    <col min="15414" max="15415" width="9.140625" style="2" bestFit="1" customWidth="1"/>
    <col min="15416" max="15416" width="9.140625" style="2" customWidth="1"/>
    <col min="15417" max="15417" width="9.140625" style="2" bestFit="1" customWidth="1"/>
    <col min="15418" max="15418" width="5.7109375" style="2" customWidth="1"/>
    <col min="15419" max="15419" width="7.85546875" style="2" customWidth="1"/>
    <col min="15420" max="15420" width="6.85546875" style="2" customWidth="1"/>
    <col min="15421" max="15421" width="4" style="2" customWidth="1"/>
    <col min="15422" max="15422" width="7" style="2" customWidth="1"/>
    <col min="15423" max="15423" width="7.85546875" style="2" customWidth="1"/>
    <col min="15424" max="15424" width="6.85546875" style="2" customWidth="1"/>
    <col min="15425" max="15425" width="7.140625" style="2" customWidth="1"/>
    <col min="15426" max="15426" width="9.5703125" style="2" customWidth="1"/>
    <col min="15427" max="15427" width="9.42578125" style="2" customWidth="1"/>
    <col min="15428" max="15428" width="9" style="2" customWidth="1"/>
    <col min="15429" max="15429" width="9.85546875" style="2" customWidth="1"/>
    <col min="15430" max="15430" width="5.42578125" style="2" customWidth="1"/>
    <col min="15431" max="15599" width="9.85546875" style="2"/>
    <col min="15600" max="15600" width="27.85546875" style="2" customWidth="1"/>
    <col min="15601" max="15601" width="5.7109375" style="2" customWidth="1"/>
    <col min="15602" max="15602" width="9.85546875" style="2" customWidth="1"/>
    <col min="15603" max="15603" width="9.140625" style="2" customWidth="1"/>
    <col min="15604" max="15609" width="9.140625" style="2" bestFit="1" customWidth="1"/>
    <col min="15610" max="15610" width="7.5703125" style="2" customWidth="1"/>
    <col min="15611" max="15611" width="8.7109375" style="2" customWidth="1"/>
    <col min="15612" max="15612" width="7.7109375" style="2" customWidth="1"/>
    <col min="15613" max="15613" width="9.140625" style="2" bestFit="1" customWidth="1"/>
    <col min="15614" max="15614" width="8" style="2" customWidth="1"/>
    <col min="15615" max="15615" width="8.42578125" style="2" bestFit="1" customWidth="1"/>
    <col min="15616" max="15616" width="6.5703125" style="2" bestFit="1" customWidth="1"/>
    <col min="15617" max="15617" width="10" style="2" customWidth="1"/>
    <col min="15618" max="15618" width="9.140625" style="2" customWidth="1"/>
    <col min="15619" max="15619" width="9" style="2" customWidth="1"/>
    <col min="15620" max="15620" width="10.42578125" style="2" customWidth="1"/>
    <col min="15621" max="15621" width="8.42578125" style="2" customWidth="1"/>
    <col min="15622" max="15622" width="9.5703125" style="2" customWidth="1"/>
    <col min="15623" max="15623" width="9.42578125" style="2" customWidth="1"/>
    <col min="15624" max="15624" width="8.5703125" style="2" customWidth="1"/>
    <col min="15625" max="15625" width="9.140625" style="2" customWidth="1"/>
    <col min="15626" max="15626" width="8.140625" style="2" customWidth="1"/>
    <col min="15627" max="15627" width="8.85546875" style="2" customWidth="1"/>
    <col min="15628" max="15628" width="8.140625" style="2" customWidth="1"/>
    <col min="15629" max="15629" width="8.85546875" style="2" customWidth="1"/>
    <col min="15630" max="15631" width="9.28515625" style="2" customWidth="1"/>
    <col min="15632" max="15632" width="8.42578125" style="2" customWidth="1"/>
    <col min="15633" max="15633" width="8.140625" style="2" customWidth="1"/>
    <col min="15634" max="15634" width="6" style="2" bestFit="1" customWidth="1"/>
    <col min="15635" max="15635" width="7.85546875" style="2" bestFit="1" customWidth="1"/>
    <col min="15636" max="15636" width="5.85546875" style="2" bestFit="1" customWidth="1"/>
    <col min="15637" max="15637" width="6.85546875" style="2" bestFit="1" customWidth="1"/>
    <col min="15638" max="15638" width="6" style="2" bestFit="1" customWidth="1"/>
    <col min="15639" max="15639" width="7.85546875" style="2" bestFit="1" customWidth="1"/>
    <col min="15640" max="15640" width="8.5703125" style="2" customWidth="1"/>
    <col min="15641" max="15641" width="6.85546875" style="2" bestFit="1" customWidth="1"/>
    <col min="15642" max="15642" width="7.5703125" style="2" customWidth="1"/>
    <col min="15643" max="15643" width="8.42578125" style="2" customWidth="1"/>
    <col min="15644" max="15644" width="8" style="2" customWidth="1"/>
    <col min="15645" max="15645" width="8.7109375" style="2" customWidth="1"/>
    <col min="15646" max="15646" width="9.42578125" style="2" customWidth="1"/>
    <col min="15647" max="15647" width="9.7109375" style="2" customWidth="1"/>
    <col min="15648" max="15648" width="10.28515625" style="2" customWidth="1"/>
    <col min="15649" max="15649" width="10" style="2" customWidth="1"/>
    <col min="15650" max="15651" width="8" style="2" customWidth="1"/>
    <col min="15652" max="15652" width="7.42578125" style="2" customWidth="1"/>
    <col min="15653" max="15653" width="7.85546875" style="2" customWidth="1"/>
    <col min="15654" max="15654" width="7.5703125" style="2" bestFit="1" customWidth="1"/>
    <col min="15655" max="15655" width="7.85546875" style="2" bestFit="1" customWidth="1"/>
    <col min="15656" max="15656" width="8.7109375" style="2" customWidth="1"/>
    <col min="15657" max="15657" width="9.42578125" style="2" customWidth="1"/>
    <col min="15658" max="15658" width="8.42578125" style="2" customWidth="1"/>
    <col min="15659" max="15659" width="8" style="2" customWidth="1"/>
    <col min="15660" max="15660" width="6.7109375" style="2" customWidth="1"/>
    <col min="15661" max="15661" width="8" style="2" customWidth="1"/>
    <col min="15662" max="15665" width="0" style="2" hidden="1" customWidth="1"/>
    <col min="15666" max="15666" width="8" style="2" customWidth="1"/>
    <col min="15667" max="15667" width="8.28515625" style="2" customWidth="1"/>
    <col min="15668" max="15668" width="8.42578125" style="2" customWidth="1"/>
    <col min="15669" max="15669" width="7.42578125" style="2" customWidth="1"/>
    <col min="15670" max="15671" width="9.140625" style="2" bestFit="1" customWidth="1"/>
    <col min="15672" max="15672" width="9.140625" style="2" customWidth="1"/>
    <col min="15673" max="15673" width="9.140625" style="2" bestFit="1" customWidth="1"/>
    <col min="15674" max="15674" width="5.7109375" style="2" customWidth="1"/>
    <col min="15675" max="15675" width="7.85546875" style="2" customWidth="1"/>
    <col min="15676" max="15676" width="6.85546875" style="2" customWidth="1"/>
    <col min="15677" max="15677" width="4" style="2" customWidth="1"/>
    <col min="15678" max="15678" width="7" style="2" customWidth="1"/>
    <col min="15679" max="15679" width="7.85546875" style="2" customWidth="1"/>
    <col min="15680" max="15680" width="6.85546875" style="2" customWidth="1"/>
    <col min="15681" max="15681" width="7.140625" style="2" customWidth="1"/>
    <col min="15682" max="15682" width="9.5703125" style="2" customWidth="1"/>
    <col min="15683" max="15683" width="9.42578125" style="2" customWidth="1"/>
    <col min="15684" max="15684" width="9" style="2" customWidth="1"/>
    <col min="15685" max="15685" width="9.85546875" style="2" customWidth="1"/>
    <col min="15686" max="15686" width="5.42578125" style="2" customWidth="1"/>
    <col min="15687" max="15855" width="9.85546875" style="2"/>
    <col min="15856" max="15856" width="27.85546875" style="2" customWidth="1"/>
    <col min="15857" max="15857" width="5.7109375" style="2" customWidth="1"/>
    <col min="15858" max="15858" width="9.85546875" style="2" customWidth="1"/>
    <col min="15859" max="15859" width="9.140625" style="2" customWidth="1"/>
    <col min="15860" max="15865" width="9.140625" style="2" bestFit="1" customWidth="1"/>
    <col min="15866" max="15866" width="7.5703125" style="2" customWidth="1"/>
    <col min="15867" max="15867" width="8.7109375" style="2" customWidth="1"/>
    <col min="15868" max="15868" width="7.7109375" style="2" customWidth="1"/>
    <col min="15869" max="15869" width="9.140625" style="2" bestFit="1" customWidth="1"/>
    <col min="15870" max="15870" width="8" style="2" customWidth="1"/>
    <col min="15871" max="15871" width="8.42578125" style="2" bestFit="1" customWidth="1"/>
    <col min="15872" max="15872" width="6.5703125" style="2" bestFit="1" customWidth="1"/>
    <col min="15873" max="15873" width="10" style="2" customWidth="1"/>
    <col min="15874" max="15874" width="9.140625" style="2" customWidth="1"/>
    <col min="15875" max="15875" width="9" style="2" customWidth="1"/>
    <col min="15876" max="15876" width="10.42578125" style="2" customWidth="1"/>
    <col min="15877" max="15877" width="8.42578125" style="2" customWidth="1"/>
    <col min="15878" max="15878" width="9.5703125" style="2" customWidth="1"/>
    <col min="15879" max="15879" width="9.42578125" style="2" customWidth="1"/>
    <col min="15880" max="15880" width="8.5703125" style="2" customWidth="1"/>
    <col min="15881" max="15881" width="9.140625" style="2" customWidth="1"/>
    <col min="15882" max="15882" width="8.140625" style="2" customWidth="1"/>
    <col min="15883" max="15883" width="8.85546875" style="2" customWidth="1"/>
    <col min="15884" max="15884" width="8.140625" style="2" customWidth="1"/>
    <col min="15885" max="15885" width="8.85546875" style="2" customWidth="1"/>
    <col min="15886" max="15887" width="9.28515625" style="2" customWidth="1"/>
    <col min="15888" max="15888" width="8.42578125" style="2" customWidth="1"/>
    <col min="15889" max="15889" width="8.140625" style="2" customWidth="1"/>
    <col min="15890" max="15890" width="6" style="2" bestFit="1" customWidth="1"/>
    <col min="15891" max="15891" width="7.85546875" style="2" bestFit="1" customWidth="1"/>
    <col min="15892" max="15892" width="5.85546875" style="2" bestFit="1" customWidth="1"/>
    <col min="15893" max="15893" width="6.85546875" style="2" bestFit="1" customWidth="1"/>
    <col min="15894" max="15894" width="6" style="2" bestFit="1" customWidth="1"/>
    <col min="15895" max="15895" width="7.85546875" style="2" bestFit="1" customWidth="1"/>
    <col min="15896" max="15896" width="8.5703125" style="2" customWidth="1"/>
    <col min="15897" max="15897" width="6.85546875" style="2" bestFit="1" customWidth="1"/>
    <col min="15898" max="15898" width="7.5703125" style="2" customWidth="1"/>
    <col min="15899" max="15899" width="8.42578125" style="2" customWidth="1"/>
    <col min="15900" max="15900" width="8" style="2" customWidth="1"/>
    <col min="15901" max="15901" width="8.7109375" style="2" customWidth="1"/>
    <col min="15902" max="15902" width="9.42578125" style="2" customWidth="1"/>
    <col min="15903" max="15903" width="9.7109375" style="2" customWidth="1"/>
    <col min="15904" max="15904" width="10.28515625" style="2" customWidth="1"/>
    <col min="15905" max="15905" width="10" style="2" customWidth="1"/>
    <col min="15906" max="15907" width="8" style="2" customWidth="1"/>
    <col min="15908" max="15908" width="7.42578125" style="2" customWidth="1"/>
    <col min="15909" max="15909" width="7.85546875" style="2" customWidth="1"/>
    <col min="15910" max="15910" width="7.5703125" style="2" bestFit="1" customWidth="1"/>
    <col min="15911" max="15911" width="7.85546875" style="2" bestFit="1" customWidth="1"/>
    <col min="15912" max="15912" width="8.7109375" style="2" customWidth="1"/>
    <col min="15913" max="15913" width="9.42578125" style="2" customWidth="1"/>
    <col min="15914" max="15914" width="8.42578125" style="2" customWidth="1"/>
    <col min="15915" max="15915" width="8" style="2" customWidth="1"/>
    <col min="15916" max="15916" width="6.7109375" style="2" customWidth="1"/>
    <col min="15917" max="15917" width="8" style="2" customWidth="1"/>
    <col min="15918" max="15921" width="0" style="2" hidden="1" customWidth="1"/>
    <col min="15922" max="15922" width="8" style="2" customWidth="1"/>
    <col min="15923" max="15923" width="8.28515625" style="2" customWidth="1"/>
    <col min="15924" max="15924" width="8.42578125" style="2" customWidth="1"/>
    <col min="15925" max="15925" width="7.42578125" style="2" customWidth="1"/>
    <col min="15926" max="15927" width="9.140625" style="2" bestFit="1" customWidth="1"/>
    <col min="15928" max="15928" width="9.140625" style="2" customWidth="1"/>
    <col min="15929" max="15929" width="9.140625" style="2" bestFit="1" customWidth="1"/>
    <col min="15930" max="15930" width="5.7109375" style="2" customWidth="1"/>
    <col min="15931" max="15931" width="7.85546875" style="2" customWidth="1"/>
    <col min="15932" max="15932" width="6.85546875" style="2" customWidth="1"/>
    <col min="15933" max="15933" width="4" style="2" customWidth="1"/>
    <col min="15934" max="15934" width="7" style="2" customWidth="1"/>
    <col min="15935" max="15935" width="7.85546875" style="2" customWidth="1"/>
    <col min="15936" max="15936" width="6.85546875" style="2" customWidth="1"/>
    <col min="15937" max="15937" width="7.140625" style="2" customWidth="1"/>
    <col min="15938" max="15938" width="9.5703125" style="2" customWidth="1"/>
    <col min="15939" max="15939" width="9.42578125" style="2" customWidth="1"/>
    <col min="15940" max="15940" width="9" style="2" customWidth="1"/>
    <col min="15941" max="15941" width="9.85546875" style="2" customWidth="1"/>
    <col min="15942" max="15942" width="5.42578125" style="2" customWidth="1"/>
    <col min="15943" max="16111" width="9.85546875" style="2"/>
    <col min="16112" max="16112" width="27.85546875" style="2" customWidth="1"/>
    <col min="16113" max="16113" width="5.7109375" style="2" customWidth="1"/>
    <col min="16114" max="16114" width="9.85546875" style="2" customWidth="1"/>
    <col min="16115" max="16115" width="9.140625" style="2" customWidth="1"/>
    <col min="16116" max="16121" width="9.140625" style="2" bestFit="1" customWidth="1"/>
    <col min="16122" max="16122" width="7.5703125" style="2" customWidth="1"/>
    <col min="16123" max="16123" width="8.7109375" style="2" customWidth="1"/>
    <col min="16124" max="16124" width="7.7109375" style="2" customWidth="1"/>
    <col min="16125" max="16125" width="9.140625" style="2" bestFit="1" customWidth="1"/>
    <col min="16126" max="16126" width="8" style="2" customWidth="1"/>
    <col min="16127" max="16127" width="8.42578125" style="2" bestFit="1" customWidth="1"/>
    <col min="16128" max="16128" width="6.5703125" style="2" bestFit="1" customWidth="1"/>
    <col min="16129" max="16129" width="10" style="2" customWidth="1"/>
    <col min="16130" max="16130" width="9.140625" style="2" customWidth="1"/>
    <col min="16131" max="16131" width="9" style="2" customWidth="1"/>
    <col min="16132" max="16132" width="10.42578125" style="2" customWidth="1"/>
    <col min="16133" max="16133" width="8.42578125" style="2" customWidth="1"/>
    <col min="16134" max="16134" width="9.5703125" style="2" customWidth="1"/>
    <col min="16135" max="16135" width="9.42578125" style="2" customWidth="1"/>
    <col min="16136" max="16136" width="8.5703125" style="2" customWidth="1"/>
    <col min="16137" max="16137" width="9.140625" style="2" customWidth="1"/>
    <col min="16138" max="16138" width="8.140625" style="2" customWidth="1"/>
    <col min="16139" max="16139" width="8.85546875" style="2" customWidth="1"/>
    <col min="16140" max="16140" width="8.140625" style="2" customWidth="1"/>
    <col min="16141" max="16141" width="8.85546875" style="2" customWidth="1"/>
    <col min="16142" max="16143" width="9.28515625" style="2" customWidth="1"/>
    <col min="16144" max="16144" width="8.42578125" style="2" customWidth="1"/>
    <col min="16145" max="16145" width="8.140625" style="2" customWidth="1"/>
    <col min="16146" max="16146" width="6" style="2" bestFit="1" customWidth="1"/>
    <col min="16147" max="16147" width="7.85546875" style="2" bestFit="1" customWidth="1"/>
    <col min="16148" max="16148" width="5.85546875" style="2" bestFit="1" customWidth="1"/>
    <col min="16149" max="16149" width="6.85546875" style="2" bestFit="1" customWidth="1"/>
    <col min="16150" max="16150" width="6" style="2" bestFit="1" customWidth="1"/>
    <col min="16151" max="16151" width="7.85546875" style="2" bestFit="1" customWidth="1"/>
    <col min="16152" max="16152" width="8.5703125" style="2" customWidth="1"/>
    <col min="16153" max="16153" width="6.85546875" style="2" bestFit="1" customWidth="1"/>
    <col min="16154" max="16154" width="7.5703125" style="2" customWidth="1"/>
    <col min="16155" max="16155" width="8.42578125" style="2" customWidth="1"/>
    <col min="16156" max="16156" width="8" style="2" customWidth="1"/>
    <col min="16157" max="16157" width="8.7109375" style="2" customWidth="1"/>
    <col min="16158" max="16158" width="9.42578125" style="2" customWidth="1"/>
    <col min="16159" max="16159" width="9.7109375" style="2" customWidth="1"/>
    <col min="16160" max="16160" width="10.28515625" style="2" customWidth="1"/>
    <col min="16161" max="16161" width="10" style="2" customWidth="1"/>
    <col min="16162" max="16163" width="8" style="2" customWidth="1"/>
    <col min="16164" max="16164" width="7.42578125" style="2" customWidth="1"/>
    <col min="16165" max="16165" width="7.85546875" style="2" customWidth="1"/>
    <col min="16166" max="16166" width="7.5703125" style="2" bestFit="1" customWidth="1"/>
    <col min="16167" max="16167" width="7.85546875" style="2" bestFit="1" customWidth="1"/>
    <col min="16168" max="16168" width="8.7109375" style="2" customWidth="1"/>
    <col min="16169" max="16169" width="9.42578125" style="2" customWidth="1"/>
    <col min="16170" max="16170" width="8.42578125" style="2" customWidth="1"/>
    <col min="16171" max="16171" width="8" style="2" customWidth="1"/>
    <col min="16172" max="16172" width="6.7109375" style="2" customWidth="1"/>
    <col min="16173" max="16173" width="8" style="2" customWidth="1"/>
    <col min="16174" max="16177" width="0" style="2" hidden="1" customWidth="1"/>
    <col min="16178" max="16178" width="8" style="2" customWidth="1"/>
    <col min="16179" max="16179" width="8.28515625" style="2" customWidth="1"/>
    <col min="16180" max="16180" width="8.42578125" style="2" customWidth="1"/>
    <col min="16181" max="16181" width="7.42578125" style="2" customWidth="1"/>
    <col min="16182" max="16183" width="9.140625" style="2" bestFit="1" customWidth="1"/>
    <col min="16184" max="16184" width="9.140625" style="2" customWidth="1"/>
    <col min="16185" max="16185" width="9.140625" style="2" bestFit="1" customWidth="1"/>
    <col min="16186" max="16186" width="5.7109375" style="2" customWidth="1"/>
    <col min="16187" max="16187" width="7.85546875" style="2" customWidth="1"/>
    <col min="16188" max="16188" width="6.85546875" style="2" customWidth="1"/>
    <col min="16189" max="16189" width="4" style="2" customWidth="1"/>
    <col min="16190" max="16190" width="7" style="2" customWidth="1"/>
    <col min="16191" max="16191" width="7.85546875" style="2" customWidth="1"/>
    <col min="16192" max="16192" width="6.85546875" style="2" customWidth="1"/>
    <col min="16193" max="16193" width="7.140625" style="2" customWidth="1"/>
    <col min="16194" max="16194" width="9.5703125" style="2" customWidth="1"/>
    <col min="16195" max="16195" width="9.42578125" style="2" customWidth="1"/>
    <col min="16196" max="16196" width="9" style="2" customWidth="1"/>
    <col min="16197" max="16197" width="9.85546875" style="2" customWidth="1"/>
    <col min="16198" max="16198" width="5.42578125" style="2" customWidth="1"/>
    <col min="16199" max="16384" width="9.85546875" style="2"/>
  </cols>
  <sheetData>
    <row r="1" spans="1:65">
      <c r="A1" s="1" t="s">
        <v>170</v>
      </c>
    </row>
    <row r="2" spans="1:65">
      <c r="A2" s="4" t="s">
        <v>1</v>
      </c>
    </row>
    <row r="3" spans="1:65">
      <c r="A3" s="2" t="s">
        <v>2</v>
      </c>
    </row>
    <row r="4" spans="1:65" s="5" customFormat="1" ht="15.75" thickBot="1">
      <c r="A4" s="5" t="s">
        <v>171</v>
      </c>
      <c r="E4" s="6"/>
      <c r="H4" s="6"/>
      <c r="K4" s="6"/>
      <c r="N4" s="6"/>
      <c r="AU4" s="6"/>
      <c r="AX4" s="6"/>
      <c r="AY4" s="6"/>
      <c r="BE4" s="6"/>
      <c r="BH4" s="6"/>
      <c r="BI4" s="6"/>
      <c r="BL4" s="6"/>
      <c r="BM4" s="6"/>
    </row>
    <row r="5" spans="1:65" s="89" customFormat="1" ht="20.25" customHeight="1" thickBot="1">
      <c r="A5" s="335" t="s">
        <v>4</v>
      </c>
      <c r="B5" s="336" t="s">
        <v>5</v>
      </c>
      <c r="C5" s="337" t="s">
        <v>6</v>
      </c>
      <c r="D5" s="338"/>
      <c r="E5" s="339"/>
      <c r="F5" s="340" t="s">
        <v>7</v>
      </c>
      <c r="G5" s="340"/>
      <c r="H5" s="339"/>
      <c r="I5" s="378" t="s">
        <v>172</v>
      </c>
      <c r="J5" s="379"/>
      <c r="K5" s="380"/>
      <c r="L5" s="340" t="s">
        <v>7</v>
      </c>
      <c r="M5" s="340"/>
      <c r="N5" s="339"/>
      <c r="O5" s="381" t="s">
        <v>9</v>
      </c>
      <c r="P5" s="382"/>
      <c r="Q5" s="382"/>
      <c r="R5" s="382"/>
      <c r="S5" s="382"/>
      <c r="T5" s="382"/>
      <c r="U5" s="382"/>
      <c r="V5" s="382"/>
      <c r="W5" s="383"/>
      <c r="X5" s="340" t="s">
        <v>7</v>
      </c>
      <c r="Y5" s="341"/>
      <c r="Z5" s="342"/>
      <c r="AA5" s="321" t="s">
        <v>173</v>
      </c>
      <c r="AB5" s="321"/>
      <c r="AC5" s="307"/>
      <c r="AD5" s="321"/>
      <c r="AE5" s="321"/>
      <c r="AF5" s="307"/>
      <c r="AG5" s="321"/>
      <c r="AH5" s="321"/>
      <c r="AI5" s="307"/>
      <c r="AJ5" s="321"/>
      <c r="AK5" s="321"/>
      <c r="AL5" s="307"/>
      <c r="AM5" s="322"/>
      <c r="AN5" s="322"/>
      <c r="AO5" s="309"/>
      <c r="AP5" s="360" t="s">
        <v>7</v>
      </c>
      <c r="AQ5" s="361"/>
      <c r="AR5" s="362"/>
      <c r="AS5" s="384" t="s">
        <v>174</v>
      </c>
      <c r="AT5" s="385"/>
      <c r="AU5" s="385"/>
      <c r="AV5" s="385"/>
      <c r="AW5" s="385"/>
      <c r="AX5" s="385"/>
      <c r="AY5" s="386"/>
      <c r="AZ5" s="360" t="s">
        <v>7</v>
      </c>
      <c r="BA5" s="361"/>
      <c r="BB5" s="362"/>
      <c r="BC5" s="338" t="s">
        <v>14</v>
      </c>
      <c r="BD5" s="337"/>
      <c r="BE5" s="338"/>
      <c r="BF5" s="343" t="s">
        <v>5</v>
      </c>
    </row>
    <row r="6" spans="1:65" s="89" customFormat="1" ht="34.5" customHeight="1" thickBot="1">
      <c r="A6" s="298"/>
      <c r="B6" s="344"/>
      <c r="C6" s="310" t="s">
        <v>15</v>
      </c>
      <c r="D6" s="305"/>
      <c r="E6" s="345"/>
      <c r="F6" s="300" t="s">
        <v>17</v>
      </c>
      <c r="G6" s="300"/>
      <c r="H6" s="304"/>
      <c r="I6" s="369"/>
      <c r="J6" s="370"/>
      <c r="K6" s="371"/>
      <c r="L6" s="300" t="s">
        <v>175</v>
      </c>
      <c r="M6" s="300"/>
      <c r="N6" s="304"/>
      <c r="O6" s="305" t="s">
        <v>176</v>
      </c>
      <c r="P6" s="306"/>
      <c r="Q6" s="307"/>
      <c r="R6" s="306" t="s">
        <v>177</v>
      </c>
      <c r="S6" s="306"/>
      <c r="T6" s="307"/>
      <c r="U6" s="306" t="s">
        <v>27</v>
      </c>
      <c r="V6" s="306"/>
      <c r="W6" s="307"/>
      <c r="X6" s="372" t="s">
        <v>30</v>
      </c>
      <c r="Y6" s="373"/>
      <c r="Z6" s="374"/>
      <c r="AA6" s="321" t="s">
        <v>35</v>
      </c>
      <c r="AB6" s="310"/>
      <c r="AC6" s="316"/>
      <c r="AD6" s="310" t="s">
        <v>178</v>
      </c>
      <c r="AE6" s="310"/>
      <c r="AF6" s="307"/>
      <c r="AG6" s="310" t="s">
        <v>179</v>
      </c>
      <c r="AH6" s="310"/>
      <c r="AI6" s="307"/>
      <c r="AJ6" s="310" t="s">
        <v>180</v>
      </c>
      <c r="AK6" s="310"/>
      <c r="AL6" s="307"/>
      <c r="AM6" s="312" t="s">
        <v>36</v>
      </c>
      <c r="AN6" s="312"/>
      <c r="AO6" s="309"/>
      <c r="AP6" s="357" t="s">
        <v>48</v>
      </c>
      <c r="AQ6" s="358"/>
      <c r="AR6" s="359"/>
      <c r="AS6" s="387"/>
      <c r="AT6" s="388"/>
      <c r="AU6" s="388"/>
      <c r="AV6" s="388"/>
      <c r="AW6" s="388"/>
      <c r="AX6" s="388"/>
      <c r="AY6" s="389"/>
      <c r="AZ6" s="357" t="s">
        <v>181</v>
      </c>
      <c r="BA6" s="358"/>
      <c r="BB6" s="359"/>
      <c r="BC6" s="346" t="s">
        <v>182</v>
      </c>
      <c r="BD6" s="347"/>
      <c r="BE6" s="317"/>
      <c r="BF6" s="299"/>
    </row>
    <row r="7" spans="1:65" s="348" customFormat="1" ht="43.5" customHeight="1" thickBot="1">
      <c r="A7" s="328"/>
      <c r="B7" s="329"/>
      <c r="C7" s="330" t="s">
        <v>58</v>
      </c>
      <c r="D7" s="330" t="s">
        <v>59</v>
      </c>
      <c r="E7" s="331" t="s">
        <v>60</v>
      </c>
      <c r="F7" s="330" t="s">
        <v>58</v>
      </c>
      <c r="G7" s="330" t="s">
        <v>59</v>
      </c>
      <c r="H7" s="331" t="s">
        <v>60</v>
      </c>
      <c r="I7" s="330" t="s">
        <v>58</v>
      </c>
      <c r="J7" s="330" t="s">
        <v>59</v>
      </c>
      <c r="K7" s="331" t="s">
        <v>60</v>
      </c>
      <c r="L7" s="330" t="s">
        <v>58</v>
      </c>
      <c r="M7" s="330" t="s">
        <v>59</v>
      </c>
      <c r="N7" s="331" t="s">
        <v>60</v>
      </c>
      <c r="O7" s="330" t="s">
        <v>58</v>
      </c>
      <c r="P7" s="330" t="s">
        <v>59</v>
      </c>
      <c r="Q7" s="331" t="s">
        <v>60</v>
      </c>
      <c r="R7" s="330" t="s">
        <v>58</v>
      </c>
      <c r="S7" s="330" t="s">
        <v>59</v>
      </c>
      <c r="T7" s="331" t="s">
        <v>60</v>
      </c>
      <c r="U7" s="330" t="s">
        <v>58</v>
      </c>
      <c r="V7" s="330" t="s">
        <v>59</v>
      </c>
      <c r="W7" s="331" t="s">
        <v>60</v>
      </c>
      <c r="X7" s="330" t="s">
        <v>58</v>
      </c>
      <c r="Y7" s="330" t="s">
        <v>59</v>
      </c>
      <c r="Z7" s="331" t="s">
        <v>60</v>
      </c>
      <c r="AA7" s="330" t="s">
        <v>58</v>
      </c>
      <c r="AB7" s="330" t="s">
        <v>59</v>
      </c>
      <c r="AC7" s="331" t="s">
        <v>60</v>
      </c>
      <c r="AD7" s="330" t="s">
        <v>58</v>
      </c>
      <c r="AE7" s="330" t="s">
        <v>59</v>
      </c>
      <c r="AF7" s="331" t="s">
        <v>60</v>
      </c>
      <c r="AG7" s="330" t="s">
        <v>58</v>
      </c>
      <c r="AH7" s="330" t="s">
        <v>59</v>
      </c>
      <c r="AI7" s="331" t="s">
        <v>60</v>
      </c>
      <c r="AJ7" s="330" t="s">
        <v>58</v>
      </c>
      <c r="AK7" s="330" t="s">
        <v>59</v>
      </c>
      <c r="AL7" s="331" t="s">
        <v>60</v>
      </c>
      <c r="AM7" s="330" t="s">
        <v>58</v>
      </c>
      <c r="AN7" s="330" t="s">
        <v>59</v>
      </c>
      <c r="AO7" s="331" t="s">
        <v>60</v>
      </c>
      <c r="AP7" s="330" t="s">
        <v>58</v>
      </c>
      <c r="AQ7" s="330" t="s">
        <v>59</v>
      </c>
      <c r="AR7" s="331" t="s">
        <v>60</v>
      </c>
      <c r="AS7" s="330" t="s">
        <v>58</v>
      </c>
      <c r="AT7" s="330" t="s">
        <v>59</v>
      </c>
      <c r="AU7" s="331" t="s">
        <v>60</v>
      </c>
      <c r="AV7" s="330" t="s">
        <v>183</v>
      </c>
      <c r="AW7" s="330" t="s">
        <v>184</v>
      </c>
      <c r="AX7" s="330" t="s">
        <v>185</v>
      </c>
      <c r="AY7" s="331" t="s">
        <v>186</v>
      </c>
      <c r="AZ7" s="330" t="s">
        <v>58</v>
      </c>
      <c r="BA7" s="330" t="s">
        <v>59</v>
      </c>
      <c r="BB7" s="331" t="s">
        <v>60</v>
      </c>
      <c r="BC7" s="330" t="s">
        <v>58</v>
      </c>
      <c r="BD7" s="330" t="s">
        <v>59</v>
      </c>
      <c r="BE7" s="331" t="s">
        <v>60</v>
      </c>
      <c r="BF7" s="329"/>
    </row>
    <row r="8" spans="1:65" s="32" customFormat="1">
      <c r="A8" s="24" t="s">
        <v>61</v>
      </c>
      <c r="B8" s="25" t="s">
        <v>62</v>
      </c>
      <c r="C8" s="26">
        <f>SUM(C9:C10)</f>
        <v>861110</v>
      </c>
      <c r="D8" s="31">
        <f>SUM(D9:D10)</f>
        <v>861110</v>
      </c>
      <c r="E8" s="28">
        <f t="shared" ref="E8:O8" si="0">SUM(E9:E10)</f>
        <v>1767480</v>
      </c>
      <c r="F8" s="28">
        <f t="shared" si="0"/>
        <v>861110</v>
      </c>
      <c r="G8" s="28">
        <f t="shared" si="0"/>
        <v>861110</v>
      </c>
      <c r="H8" s="28">
        <f t="shared" si="0"/>
        <v>1767480</v>
      </c>
      <c r="I8" s="28">
        <f>SUM(I9:I10)</f>
        <v>0</v>
      </c>
      <c r="J8" s="28">
        <f>SUM(J9:J10)</f>
        <v>0</v>
      </c>
      <c r="K8" s="28">
        <f>SUM(K9:K10)</f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8">
        <f t="shared" si="0"/>
        <v>0</v>
      </c>
      <c r="P8" s="28">
        <f>SUM(P9:P10)</f>
        <v>0</v>
      </c>
      <c r="Q8" s="28">
        <f t="shared" ref="Q8:BE8" si="1">SUM(Q9:Q10)</f>
        <v>0</v>
      </c>
      <c r="R8" s="27">
        <f>SUM(R9:R10)</f>
        <v>10600</v>
      </c>
      <c r="S8" s="31">
        <f>SUM(S9:S10)</f>
        <v>10600</v>
      </c>
      <c r="T8" s="28">
        <f t="shared" si="1"/>
        <v>0</v>
      </c>
      <c r="U8" s="28">
        <f>SUM(U9:U10)</f>
        <v>0</v>
      </c>
      <c r="V8" s="28">
        <f>SUM(V9:V10)</f>
        <v>0</v>
      </c>
      <c r="W8" s="28">
        <f t="shared" si="1"/>
        <v>0</v>
      </c>
      <c r="X8" s="28">
        <f t="shared" si="1"/>
        <v>10600</v>
      </c>
      <c r="Y8" s="29">
        <f t="shared" si="1"/>
        <v>10600</v>
      </c>
      <c r="Z8" s="28">
        <f t="shared" si="1"/>
        <v>0</v>
      </c>
      <c r="AA8" s="28">
        <f>SUM(AA9:AA10)</f>
        <v>0</v>
      </c>
      <c r="AB8" s="28">
        <f>SUM(AB9:AB10)</f>
        <v>0</v>
      </c>
      <c r="AC8" s="28">
        <f t="shared" si="1"/>
        <v>0</v>
      </c>
      <c r="AD8" s="28">
        <f t="shared" si="1"/>
        <v>0</v>
      </c>
      <c r="AE8" s="28">
        <f t="shared" si="1"/>
        <v>0</v>
      </c>
      <c r="AF8" s="28">
        <f t="shared" si="1"/>
        <v>0</v>
      </c>
      <c r="AG8" s="27">
        <f>SUM(AG9:AG10)</f>
        <v>98100</v>
      </c>
      <c r="AH8" s="27">
        <f>SUM(AH9:AH10)</f>
        <v>98100</v>
      </c>
      <c r="AI8" s="28">
        <f t="shared" si="1"/>
        <v>0</v>
      </c>
      <c r="AJ8" s="27">
        <f>SUM(AJ9:AJ10)</f>
        <v>117700</v>
      </c>
      <c r="AK8" s="27">
        <f>SUM(AK9:AK10)</f>
        <v>117700</v>
      </c>
      <c r="AL8" s="28">
        <f>SUM(AL9:AL10)</f>
        <v>0</v>
      </c>
      <c r="AM8" s="28">
        <f t="shared" si="1"/>
        <v>0</v>
      </c>
      <c r="AN8" s="27">
        <f t="shared" si="1"/>
        <v>0</v>
      </c>
      <c r="AO8" s="28">
        <f t="shared" si="1"/>
        <v>0</v>
      </c>
      <c r="AP8" s="29">
        <f t="shared" si="1"/>
        <v>215800</v>
      </c>
      <c r="AQ8" s="29">
        <f t="shared" si="1"/>
        <v>215800</v>
      </c>
      <c r="AR8" s="28">
        <f t="shared" si="1"/>
        <v>0</v>
      </c>
      <c r="AS8" s="26">
        <f t="shared" si="1"/>
        <v>0</v>
      </c>
      <c r="AT8" s="31">
        <f>SUM(AT9:AT10)</f>
        <v>0</v>
      </c>
      <c r="AU8" s="28">
        <f t="shared" si="1"/>
        <v>0</v>
      </c>
      <c r="AV8" s="28">
        <f t="shared" si="1"/>
        <v>0</v>
      </c>
      <c r="AW8" s="28">
        <f t="shared" si="1"/>
        <v>0</v>
      </c>
      <c r="AX8" s="28">
        <f t="shared" si="1"/>
        <v>0</v>
      </c>
      <c r="AY8" s="28">
        <f t="shared" si="1"/>
        <v>0</v>
      </c>
      <c r="AZ8" s="28">
        <f t="shared" si="1"/>
        <v>0</v>
      </c>
      <c r="BA8" s="28">
        <f t="shared" si="1"/>
        <v>0</v>
      </c>
      <c r="BB8" s="28">
        <f t="shared" si="1"/>
        <v>0</v>
      </c>
      <c r="BC8" s="29">
        <f t="shared" si="1"/>
        <v>1087510</v>
      </c>
      <c r="BD8" s="29">
        <f t="shared" si="1"/>
        <v>1087510</v>
      </c>
      <c r="BE8" s="29">
        <f t="shared" si="1"/>
        <v>1767480</v>
      </c>
      <c r="BF8" s="25" t="s">
        <v>62</v>
      </c>
    </row>
    <row r="9" spans="1:65">
      <c r="A9" s="33" t="s">
        <v>63</v>
      </c>
      <c r="B9" s="34" t="s">
        <v>64</v>
      </c>
      <c r="C9" s="35">
        <v>861110</v>
      </c>
      <c r="D9" s="36">
        <v>861110</v>
      </c>
      <c r="E9" s="35">
        <v>1767480</v>
      </c>
      <c r="F9" s="35">
        <f t="shared" ref="F9:H10" si="2">SUM(C9)</f>
        <v>861110</v>
      </c>
      <c r="G9" s="35">
        <f t="shared" si="2"/>
        <v>861110</v>
      </c>
      <c r="H9" s="35">
        <f t="shared" si="2"/>
        <v>1767480</v>
      </c>
      <c r="I9" s="35"/>
      <c r="J9" s="35"/>
      <c r="K9" s="35"/>
      <c r="L9" s="35">
        <f t="shared" ref="L9:N10" si="3">SUM(I9)</f>
        <v>0</v>
      </c>
      <c r="M9" s="35">
        <f t="shared" si="3"/>
        <v>0</v>
      </c>
      <c r="N9" s="35">
        <f t="shared" si="3"/>
        <v>0</v>
      </c>
      <c r="O9" s="35">
        <v>0</v>
      </c>
      <c r="P9" s="35">
        <v>0</v>
      </c>
      <c r="Q9" s="35">
        <v>0</v>
      </c>
      <c r="R9" s="36">
        <v>10600</v>
      </c>
      <c r="S9" s="36">
        <v>10600</v>
      </c>
      <c r="T9" s="35"/>
      <c r="U9" s="35">
        <v>0</v>
      </c>
      <c r="V9" s="35">
        <v>0</v>
      </c>
      <c r="W9" s="35">
        <v>0</v>
      </c>
      <c r="X9" s="37">
        <f t="shared" ref="X9:Z10" si="4">SUM(O9,R9,U9)</f>
        <v>10600</v>
      </c>
      <c r="Y9" s="37">
        <f t="shared" si="4"/>
        <v>10600</v>
      </c>
      <c r="Z9" s="37">
        <f t="shared" si="4"/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6">
        <v>98100</v>
      </c>
      <c r="AH9" s="36">
        <v>98100</v>
      </c>
      <c r="AI9" s="35">
        <v>0</v>
      </c>
      <c r="AJ9" s="36">
        <v>117700</v>
      </c>
      <c r="AK9" s="36">
        <v>117700</v>
      </c>
      <c r="AL9" s="35">
        <v>0</v>
      </c>
      <c r="AM9" s="35">
        <v>0</v>
      </c>
      <c r="AN9" s="36"/>
      <c r="AO9" s="35">
        <v>0</v>
      </c>
      <c r="AP9" s="37">
        <f t="shared" ref="AP9:AR10" si="5">SUM(AA9,AD9,AG9,AM9,AJ9,)</f>
        <v>215800</v>
      </c>
      <c r="AQ9" s="37">
        <f t="shared" si="5"/>
        <v>215800</v>
      </c>
      <c r="AR9" s="37">
        <f t="shared" si="5"/>
        <v>0</v>
      </c>
      <c r="AS9" s="35">
        <v>0</v>
      </c>
      <c r="AT9" s="36">
        <v>0</v>
      </c>
      <c r="AU9" s="35">
        <v>0</v>
      </c>
      <c r="AV9" s="35">
        <v>0</v>
      </c>
      <c r="AW9" s="35">
        <v>0</v>
      </c>
      <c r="AX9" s="35"/>
      <c r="AY9" s="35">
        <v>0</v>
      </c>
      <c r="AZ9" s="35">
        <f>SUM(AS9,AV9)</f>
        <v>0</v>
      </c>
      <c r="BA9" s="35">
        <f>SUM(AT9,AW9)</f>
        <v>0</v>
      </c>
      <c r="BB9" s="35">
        <f>SUM(AU9,AY9)</f>
        <v>0</v>
      </c>
      <c r="BC9" s="37">
        <f t="shared" ref="BC9:BE10" si="6">SUM(F9,X9,AP9,AZ9,L9)</f>
        <v>1087510</v>
      </c>
      <c r="BD9" s="37">
        <f t="shared" si="6"/>
        <v>1087510</v>
      </c>
      <c r="BE9" s="37">
        <f t="shared" si="6"/>
        <v>1767480</v>
      </c>
      <c r="BF9" s="34" t="s">
        <v>64</v>
      </c>
      <c r="BH9" s="2"/>
      <c r="BI9" s="2"/>
      <c r="BL9" s="2"/>
      <c r="BM9" s="2"/>
    </row>
    <row r="10" spans="1:65">
      <c r="A10" s="33" t="s">
        <v>65</v>
      </c>
      <c r="B10" s="34" t="s">
        <v>66</v>
      </c>
      <c r="C10" s="35">
        <v>0</v>
      </c>
      <c r="D10" s="36">
        <v>0</v>
      </c>
      <c r="E10" s="35"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>SUM(F10)</f>
        <v>0</v>
      </c>
      <c r="J10" s="35">
        <f>SUM(G10)</f>
        <v>0</v>
      </c>
      <c r="K10" s="35">
        <f>SUM(H10)</f>
        <v>0</v>
      </c>
      <c r="L10" s="35">
        <f t="shared" si="3"/>
        <v>0</v>
      </c>
      <c r="M10" s="35">
        <f t="shared" si="3"/>
        <v>0</v>
      </c>
      <c r="N10" s="35">
        <f t="shared" si="3"/>
        <v>0</v>
      </c>
      <c r="O10" s="35">
        <v>0</v>
      </c>
      <c r="P10" s="35">
        <v>0</v>
      </c>
      <c r="Q10" s="35">
        <v>0</v>
      </c>
      <c r="R10" s="36">
        <v>0</v>
      </c>
      <c r="S10" s="36">
        <v>0</v>
      </c>
      <c r="T10" s="35">
        <v>0</v>
      </c>
      <c r="U10" s="35">
        <v>0</v>
      </c>
      <c r="V10" s="35">
        <v>0</v>
      </c>
      <c r="W10" s="35">
        <v>0</v>
      </c>
      <c r="X10" s="37">
        <f t="shared" si="4"/>
        <v>0</v>
      </c>
      <c r="Y10" s="37">
        <f t="shared" si="4"/>
        <v>0</v>
      </c>
      <c r="Z10" s="37">
        <f t="shared" si="4"/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6">
        <v>0</v>
      </c>
      <c r="AH10" s="36">
        <v>0</v>
      </c>
      <c r="AI10" s="35">
        <v>0</v>
      </c>
      <c r="AJ10" s="36">
        <v>0</v>
      </c>
      <c r="AK10" s="36">
        <v>0</v>
      </c>
      <c r="AL10" s="35">
        <v>0</v>
      </c>
      <c r="AM10" s="35">
        <v>0</v>
      </c>
      <c r="AN10" s="36">
        <v>0</v>
      </c>
      <c r="AO10" s="35">
        <v>0</v>
      </c>
      <c r="AP10" s="37">
        <f t="shared" si="5"/>
        <v>0</v>
      </c>
      <c r="AQ10" s="37">
        <f t="shared" si="5"/>
        <v>0</v>
      </c>
      <c r="AR10" s="37">
        <f t="shared" si="5"/>
        <v>0</v>
      </c>
      <c r="AS10" s="35">
        <v>0</v>
      </c>
      <c r="AT10" s="36">
        <v>0</v>
      </c>
      <c r="AU10" s="35">
        <v>0</v>
      </c>
      <c r="AV10" s="35">
        <v>0</v>
      </c>
      <c r="AW10" s="35">
        <v>0</v>
      </c>
      <c r="AX10" s="35"/>
      <c r="AY10" s="35">
        <v>0</v>
      </c>
      <c r="AZ10" s="35">
        <f>SUM(AS10,AV10)</f>
        <v>0</v>
      </c>
      <c r="BA10" s="35">
        <f>SUM(AT10,AW10)</f>
        <v>0</v>
      </c>
      <c r="BB10" s="35">
        <f>SUM(AU10,AY10)</f>
        <v>0</v>
      </c>
      <c r="BC10" s="37">
        <f t="shared" si="6"/>
        <v>0</v>
      </c>
      <c r="BD10" s="37">
        <f t="shared" si="6"/>
        <v>0</v>
      </c>
      <c r="BE10" s="37">
        <f t="shared" si="6"/>
        <v>0</v>
      </c>
      <c r="BF10" s="34" t="s">
        <v>66</v>
      </c>
      <c r="BH10" s="2"/>
      <c r="BI10" s="2"/>
      <c r="BL10" s="2"/>
      <c r="BM10" s="2"/>
    </row>
    <row r="11" spans="1:65" s="32" customFormat="1">
      <c r="A11" s="39" t="s">
        <v>67</v>
      </c>
      <c r="B11" s="25" t="s">
        <v>68</v>
      </c>
      <c r="C11" s="26">
        <f>SUM(C12:C16)</f>
        <v>608589</v>
      </c>
      <c r="D11" s="31">
        <f>SUM(D12:D16)</f>
        <v>608589</v>
      </c>
      <c r="E11" s="28">
        <f t="shared" ref="E11:AN11" si="7">SUM(E12:E16)</f>
        <v>507184</v>
      </c>
      <c r="F11" s="28">
        <f t="shared" si="7"/>
        <v>608589</v>
      </c>
      <c r="G11" s="28">
        <f t="shared" si="7"/>
        <v>608589</v>
      </c>
      <c r="H11" s="28">
        <f t="shared" si="7"/>
        <v>507184</v>
      </c>
      <c r="I11" s="28">
        <f>SUM(I12:I16)</f>
        <v>0</v>
      </c>
      <c r="J11" s="28">
        <f>SUM(J12:J16)</f>
        <v>0</v>
      </c>
      <c r="K11" s="28">
        <f>SUM(K12:K16)</f>
        <v>0</v>
      </c>
      <c r="L11" s="26">
        <f t="shared" si="7"/>
        <v>0</v>
      </c>
      <c r="M11" s="26">
        <f t="shared" si="7"/>
        <v>0</v>
      </c>
      <c r="N11" s="26">
        <f t="shared" si="7"/>
        <v>0</v>
      </c>
      <c r="O11" s="28">
        <f>SUM(O12:O16)</f>
        <v>0</v>
      </c>
      <c r="P11" s="28">
        <f>SUM(P12:P16)</f>
        <v>0</v>
      </c>
      <c r="Q11" s="28">
        <f t="shared" si="7"/>
        <v>0</v>
      </c>
      <c r="R11" s="27">
        <f>SUM(R12:R16)</f>
        <v>0</v>
      </c>
      <c r="S11" s="31">
        <f>SUM(S12:S16)</f>
        <v>0</v>
      </c>
      <c r="T11" s="28">
        <f t="shared" si="7"/>
        <v>0</v>
      </c>
      <c r="U11" s="28">
        <f t="shared" si="7"/>
        <v>0</v>
      </c>
      <c r="V11" s="28">
        <f t="shared" si="7"/>
        <v>0</v>
      </c>
      <c r="W11" s="28">
        <f t="shared" si="7"/>
        <v>0</v>
      </c>
      <c r="X11" s="28">
        <f t="shared" si="7"/>
        <v>0</v>
      </c>
      <c r="Y11" s="66">
        <f t="shared" si="7"/>
        <v>0</v>
      </c>
      <c r="Z11" s="28">
        <f t="shared" si="7"/>
        <v>0</v>
      </c>
      <c r="AA11" s="28">
        <f t="shared" si="7"/>
        <v>0</v>
      </c>
      <c r="AB11" s="28">
        <f t="shared" si="7"/>
        <v>0</v>
      </c>
      <c r="AC11" s="28">
        <f t="shared" si="7"/>
        <v>0</v>
      </c>
      <c r="AD11" s="28">
        <f t="shared" si="7"/>
        <v>0</v>
      </c>
      <c r="AE11" s="28">
        <f t="shared" si="7"/>
        <v>0</v>
      </c>
      <c r="AF11" s="28">
        <f t="shared" si="7"/>
        <v>0</v>
      </c>
      <c r="AG11" s="27">
        <f>SUM(AG12:AG16)</f>
        <v>6900</v>
      </c>
      <c r="AH11" s="27">
        <f>SUM(AH12:AH16)</f>
        <v>6900</v>
      </c>
      <c r="AI11" s="28">
        <f t="shared" si="7"/>
        <v>0</v>
      </c>
      <c r="AJ11" s="27">
        <f t="shared" si="7"/>
        <v>6000</v>
      </c>
      <c r="AK11" s="27">
        <f t="shared" si="7"/>
        <v>6000</v>
      </c>
      <c r="AL11" s="28">
        <f t="shared" si="7"/>
        <v>0</v>
      </c>
      <c r="AM11" s="27">
        <f t="shared" si="7"/>
        <v>4000</v>
      </c>
      <c r="AN11" s="27">
        <f t="shared" si="7"/>
        <v>4000</v>
      </c>
      <c r="AO11" s="28">
        <f>SUM(AO12:AO16)</f>
        <v>5000</v>
      </c>
      <c r="AP11" s="29">
        <f t="shared" ref="AP11:BE11" si="8">SUM(AP12:AP16)</f>
        <v>16900</v>
      </c>
      <c r="AQ11" s="29">
        <f t="shared" si="8"/>
        <v>16900</v>
      </c>
      <c r="AR11" s="28">
        <f t="shared" si="8"/>
        <v>5000</v>
      </c>
      <c r="AS11" s="27">
        <f>SUM(AS12:AS16)</f>
        <v>5000</v>
      </c>
      <c r="AT11" s="27">
        <f>SUM(AT12:AT16)</f>
        <v>5000</v>
      </c>
      <c r="AU11" s="28">
        <f t="shared" si="8"/>
        <v>7000</v>
      </c>
      <c r="AV11" s="28">
        <f t="shared" si="8"/>
        <v>0</v>
      </c>
      <c r="AW11" s="28">
        <f t="shared" si="8"/>
        <v>0</v>
      </c>
      <c r="AX11" s="28">
        <f t="shared" si="8"/>
        <v>0</v>
      </c>
      <c r="AY11" s="28">
        <f t="shared" si="8"/>
        <v>0</v>
      </c>
      <c r="AZ11" s="28">
        <f t="shared" si="8"/>
        <v>5000</v>
      </c>
      <c r="BA11" s="28">
        <f t="shared" si="8"/>
        <v>5000</v>
      </c>
      <c r="BB11" s="28">
        <f t="shared" si="8"/>
        <v>7000</v>
      </c>
      <c r="BC11" s="29">
        <f t="shared" si="8"/>
        <v>630489</v>
      </c>
      <c r="BD11" s="29">
        <f t="shared" si="8"/>
        <v>630489</v>
      </c>
      <c r="BE11" s="29">
        <f t="shared" si="8"/>
        <v>519184</v>
      </c>
      <c r="BF11" s="25" t="s">
        <v>68</v>
      </c>
    </row>
    <row r="12" spans="1:65">
      <c r="A12" s="33" t="s">
        <v>69</v>
      </c>
      <c r="B12" s="34" t="s">
        <v>70</v>
      </c>
      <c r="C12" s="35">
        <v>140000</v>
      </c>
      <c r="D12" s="36">
        <v>140000</v>
      </c>
      <c r="E12" s="35">
        <v>177600</v>
      </c>
      <c r="F12" s="35">
        <f t="shared" ref="F12:H16" si="9">SUM(C12)</f>
        <v>140000</v>
      </c>
      <c r="G12" s="35">
        <f t="shared" si="9"/>
        <v>140000</v>
      </c>
      <c r="H12" s="35">
        <f t="shared" si="9"/>
        <v>177600</v>
      </c>
      <c r="I12" s="35"/>
      <c r="J12" s="35"/>
      <c r="K12" s="35"/>
      <c r="L12" s="35">
        <f t="shared" ref="L12:N16" si="10">SUM(I12)</f>
        <v>0</v>
      </c>
      <c r="M12" s="35">
        <f t="shared" si="10"/>
        <v>0</v>
      </c>
      <c r="N12" s="35">
        <f t="shared" si="10"/>
        <v>0</v>
      </c>
      <c r="O12" s="35">
        <v>0</v>
      </c>
      <c r="P12" s="35"/>
      <c r="Q12" s="35">
        <v>0</v>
      </c>
      <c r="R12" s="36">
        <v>0</v>
      </c>
      <c r="S12" s="36">
        <v>0</v>
      </c>
      <c r="T12" s="35">
        <v>0</v>
      </c>
      <c r="U12" s="35">
        <v>0</v>
      </c>
      <c r="V12" s="35">
        <v>0</v>
      </c>
      <c r="W12" s="35">
        <v>0</v>
      </c>
      <c r="X12" s="37">
        <f t="shared" ref="X12:Z16" si="11">SUM(O12,R12,U12)</f>
        <v>0</v>
      </c>
      <c r="Y12" s="37">
        <f t="shared" si="11"/>
        <v>0</v>
      </c>
      <c r="Z12" s="37">
        <f t="shared" si="11"/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6"/>
      <c r="AH12" s="36"/>
      <c r="AI12" s="35">
        <v>0</v>
      </c>
      <c r="AJ12" s="36"/>
      <c r="AK12" s="36"/>
      <c r="AL12" s="35">
        <v>0</v>
      </c>
      <c r="AM12" s="36">
        <v>70</v>
      </c>
      <c r="AN12" s="36">
        <v>70</v>
      </c>
      <c r="AO12" s="35">
        <v>500</v>
      </c>
      <c r="AP12" s="37">
        <f t="shared" ref="AP12:AR16" si="12">SUM(AA12,AD12,AG12,AM12,AJ12,)</f>
        <v>70</v>
      </c>
      <c r="AQ12" s="37">
        <f t="shared" si="12"/>
        <v>70</v>
      </c>
      <c r="AR12" s="37">
        <f t="shared" si="12"/>
        <v>500</v>
      </c>
      <c r="AS12" s="36"/>
      <c r="AT12" s="36"/>
      <c r="AU12" s="35"/>
      <c r="AV12" s="35"/>
      <c r="AW12" s="35"/>
      <c r="AX12" s="35"/>
      <c r="AY12" s="35"/>
      <c r="AZ12" s="35">
        <f t="shared" ref="AZ12:BA16" si="13">SUM(AS12,AV12)</f>
        <v>0</v>
      </c>
      <c r="BA12" s="35">
        <f t="shared" si="13"/>
        <v>0</v>
      </c>
      <c r="BB12" s="35">
        <f>SUM(AU12,AY12)</f>
        <v>0</v>
      </c>
      <c r="BC12" s="37">
        <f t="shared" ref="BC12:BE16" si="14">SUM(F12,X12,AP12,AZ12,L12)</f>
        <v>140070</v>
      </c>
      <c r="BD12" s="37">
        <f t="shared" si="14"/>
        <v>140070</v>
      </c>
      <c r="BE12" s="37">
        <f t="shared" si="14"/>
        <v>178100</v>
      </c>
      <c r="BF12" s="34" t="s">
        <v>70</v>
      </c>
      <c r="BH12" s="2"/>
      <c r="BI12" s="2"/>
      <c r="BL12" s="2"/>
      <c r="BM12" s="2"/>
    </row>
    <row r="13" spans="1:65">
      <c r="A13" s="33" t="s">
        <v>71</v>
      </c>
      <c r="B13" s="34" t="s">
        <v>72</v>
      </c>
      <c r="C13" s="35">
        <v>90000</v>
      </c>
      <c r="D13" s="81">
        <f>90000+2400</f>
        <v>92400</v>
      </c>
      <c r="E13" s="81">
        <v>110000</v>
      </c>
      <c r="F13" s="81">
        <f t="shared" si="9"/>
        <v>90000</v>
      </c>
      <c r="G13" s="81">
        <f t="shared" si="9"/>
        <v>92400</v>
      </c>
      <c r="H13" s="81">
        <f t="shared" si="9"/>
        <v>110000</v>
      </c>
      <c r="I13" s="81"/>
      <c r="J13" s="81"/>
      <c r="K13" s="81"/>
      <c r="L13" s="81">
        <f t="shared" si="10"/>
        <v>0</v>
      </c>
      <c r="M13" s="81">
        <f t="shared" si="10"/>
        <v>0</v>
      </c>
      <c r="N13" s="81">
        <f t="shared" si="10"/>
        <v>0</v>
      </c>
      <c r="O13" s="81"/>
      <c r="P13" s="81"/>
      <c r="Q13" s="81"/>
      <c r="R13" s="81"/>
      <c r="S13" s="81"/>
      <c r="T13" s="81"/>
      <c r="U13" s="81"/>
      <c r="V13" s="81"/>
      <c r="W13" s="81"/>
      <c r="X13" s="37">
        <f t="shared" si="11"/>
        <v>0</v>
      </c>
      <c r="Y13" s="37">
        <f t="shared" si="11"/>
        <v>0</v>
      </c>
      <c r="Z13" s="37">
        <f t="shared" si="11"/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6">
        <v>1400</v>
      </c>
      <c r="AH13" s="36">
        <v>1400</v>
      </c>
      <c r="AI13" s="35">
        <v>0</v>
      </c>
      <c r="AJ13" s="36"/>
      <c r="AK13" s="36"/>
      <c r="AL13" s="35">
        <v>0</v>
      </c>
      <c r="AM13" s="36"/>
      <c r="AN13" s="36"/>
      <c r="AO13" s="35"/>
      <c r="AP13" s="37">
        <f t="shared" si="12"/>
        <v>1400</v>
      </c>
      <c r="AQ13" s="37">
        <f t="shared" si="12"/>
        <v>1400</v>
      </c>
      <c r="AR13" s="37">
        <f t="shared" si="12"/>
        <v>0</v>
      </c>
      <c r="AS13" s="36">
        <v>5000</v>
      </c>
      <c r="AT13" s="36">
        <v>5000</v>
      </c>
      <c r="AU13" s="35">
        <v>7000</v>
      </c>
      <c r="AV13" s="35">
        <v>0</v>
      </c>
      <c r="AW13" s="35">
        <v>0</v>
      </c>
      <c r="AX13" s="35"/>
      <c r="AY13" s="35">
        <v>0</v>
      </c>
      <c r="AZ13" s="35">
        <f t="shared" si="13"/>
        <v>5000</v>
      </c>
      <c r="BA13" s="35">
        <f t="shared" si="13"/>
        <v>5000</v>
      </c>
      <c r="BB13" s="35">
        <f>SUM(AU13,AY13)</f>
        <v>7000</v>
      </c>
      <c r="BC13" s="37">
        <f t="shared" si="14"/>
        <v>96400</v>
      </c>
      <c r="BD13" s="37">
        <f t="shared" si="14"/>
        <v>98800</v>
      </c>
      <c r="BE13" s="37">
        <f t="shared" si="14"/>
        <v>117000</v>
      </c>
      <c r="BF13" s="34" t="s">
        <v>72</v>
      </c>
      <c r="BH13" s="2"/>
      <c r="BI13" s="2"/>
      <c r="BL13" s="2"/>
      <c r="BM13" s="2"/>
    </row>
    <row r="14" spans="1:65">
      <c r="A14" s="33" t="s">
        <v>73</v>
      </c>
      <c r="B14" s="40" t="s">
        <v>74</v>
      </c>
      <c r="C14" s="35">
        <v>80589</v>
      </c>
      <c r="D14" s="81">
        <v>80589</v>
      </c>
      <c r="E14" s="81">
        <v>93384</v>
      </c>
      <c r="F14" s="81">
        <f t="shared" si="9"/>
        <v>80589</v>
      </c>
      <c r="G14" s="81">
        <f t="shared" si="9"/>
        <v>80589</v>
      </c>
      <c r="H14" s="81">
        <f t="shared" si="9"/>
        <v>93384</v>
      </c>
      <c r="I14" s="81"/>
      <c r="J14" s="81"/>
      <c r="K14" s="81"/>
      <c r="L14" s="81">
        <f t="shared" si="10"/>
        <v>0</v>
      </c>
      <c r="M14" s="81">
        <f t="shared" si="10"/>
        <v>0</v>
      </c>
      <c r="N14" s="81">
        <f t="shared" si="10"/>
        <v>0</v>
      </c>
      <c r="O14" s="81">
        <v>0</v>
      </c>
      <c r="P14" s="81"/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37">
        <f t="shared" si="11"/>
        <v>0</v>
      </c>
      <c r="Y14" s="37">
        <f t="shared" si="11"/>
        <v>0</v>
      </c>
      <c r="Z14" s="37">
        <f t="shared" si="11"/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6">
        <v>2500</v>
      </c>
      <c r="AH14" s="36">
        <v>2500</v>
      </c>
      <c r="AI14" s="35">
        <v>0</v>
      </c>
      <c r="AJ14" s="36">
        <v>3000</v>
      </c>
      <c r="AK14" s="36">
        <v>3000</v>
      </c>
      <c r="AL14" s="35">
        <v>0</v>
      </c>
      <c r="AM14" s="36"/>
      <c r="AN14" s="36"/>
      <c r="AO14" s="35"/>
      <c r="AP14" s="37">
        <f t="shared" si="12"/>
        <v>5500</v>
      </c>
      <c r="AQ14" s="37">
        <f t="shared" si="12"/>
        <v>5500</v>
      </c>
      <c r="AR14" s="37">
        <f t="shared" si="12"/>
        <v>0</v>
      </c>
      <c r="AS14" s="36">
        <v>0</v>
      </c>
      <c r="AT14" s="36">
        <v>0</v>
      </c>
      <c r="AU14" s="35">
        <v>0</v>
      </c>
      <c r="AV14" s="35">
        <v>0</v>
      </c>
      <c r="AW14" s="35">
        <v>0</v>
      </c>
      <c r="AX14" s="35"/>
      <c r="AY14" s="35">
        <v>0</v>
      </c>
      <c r="AZ14" s="35">
        <f t="shared" si="13"/>
        <v>0</v>
      </c>
      <c r="BA14" s="35">
        <f t="shared" si="13"/>
        <v>0</v>
      </c>
      <c r="BB14" s="35">
        <f>SUM(AU14,AY14)</f>
        <v>0</v>
      </c>
      <c r="BC14" s="37">
        <f t="shared" si="14"/>
        <v>86089</v>
      </c>
      <c r="BD14" s="37">
        <f t="shared" si="14"/>
        <v>86089</v>
      </c>
      <c r="BE14" s="37">
        <f t="shared" si="14"/>
        <v>93384</v>
      </c>
      <c r="BF14" s="40" t="s">
        <v>74</v>
      </c>
      <c r="BH14" s="2"/>
      <c r="BI14" s="2"/>
      <c r="BL14" s="2"/>
      <c r="BM14" s="2"/>
    </row>
    <row r="15" spans="1:65">
      <c r="A15" s="33" t="s">
        <v>75</v>
      </c>
      <c r="B15" s="40" t="s">
        <v>76</v>
      </c>
      <c r="C15" s="35">
        <f>245000+12000</f>
        <v>257000</v>
      </c>
      <c r="D15" s="81">
        <f>257000-2400</f>
        <v>254600</v>
      </c>
      <c r="E15" s="81">
        <v>85200</v>
      </c>
      <c r="F15" s="81">
        <f t="shared" si="9"/>
        <v>257000</v>
      </c>
      <c r="G15" s="81">
        <f t="shared" si="9"/>
        <v>254600</v>
      </c>
      <c r="H15" s="81">
        <f t="shared" si="9"/>
        <v>85200</v>
      </c>
      <c r="I15" s="81"/>
      <c r="J15" s="81"/>
      <c r="K15" s="81"/>
      <c r="L15" s="81">
        <f t="shared" si="10"/>
        <v>0</v>
      </c>
      <c r="M15" s="81">
        <f t="shared" si="10"/>
        <v>0</v>
      </c>
      <c r="N15" s="81">
        <f t="shared" si="10"/>
        <v>0</v>
      </c>
      <c r="O15" s="81">
        <v>0</v>
      </c>
      <c r="P15" s="81"/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37">
        <f t="shared" si="11"/>
        <v>0</v>
      </c>
      <c r="Y15" s="37">
        <f t="shared" si="11"/>
        <v>0</v>
      </c>
      <c r="Z15" s="37">
        <f t="shared" si="11"/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6"/>
      <c r="AH15" s="36"/>
      <c r="AI15" s="35">
        <v>0</v>
      </c>
      <c r="AJ15" s="36"/>
      <c r="AK15" s="36"/>
      <c r="AL15" s="35">
        <v>0</v>
      </c>
      <c r="AM15" s="36">
        <v>3430</v>
      </c>
      <c r="AN15" s="36">
        <v>3430</v>
      </c>
      <c r="AO15" s="35">
        <v>4000</v>
      </c>
      <c r="AP15" s="37">
        <f t="shared" si="12"/>
        <v>3430</v>
      </c>
      <c r="AQ15" s="37">
        <f t="shared" si="12"/>
        <v>3430</v>
      </c>
      <c r="AR15" s="37">
        <f t="shared" si="12"/>
        <v>4000</v>
      </c>
      <c r="AS15" s="36"/>
      <c r="AT15" s="36"/>
      <c r="AU15" s="35"/>
      <c r="AV15" s="35"/>
      <c r="AW15" s="35"/>
      <c r="AX15" s="35"/>
      <c r="AY15" s="35"/>
      <c r="AZ15" s="35">
        <f t="shared" si="13"/>
        <v>0</v>
      </c>
      <c r="BA15" s="35">
        <f t="shared" si="13"/>
        <v>0</v>
      </c>
      <c r="BB15" s="35">
        <f>SUM(AU15,AY15)</f>
        <v>0</v>
      </c>
      <c r="BC15" s="37">
        <f t="shared" si="14"/>
        <v>260430</v>
      </c>
      <c r="BD15" s="37">
        <f t="shared" si="14"/>
        <v>258030</v>
      </c>
      <c r="BE15" s="37">
        <f t="shared" si="14"/>
        <v>89200</v>
      </c>
      <c r="BF15" s="40" t="s">
        <v>76</v>
      </c>
      <c r="BH15" s="2"/>
      <c r="BI15" s="2"/>
      <c r="BL15" s="2"/>
      <c r="BM15" s="2"/>
    </row>
    <row r="16" spans="1:65">
      <c r="A16" s="33" t="s">
        <v>77</v>
      </c>
      <c r="B16" s="34" t="s">
        <v>78</v>
      </c>
      <c r="C16" s="35">
        <v>41000</v>
      </c>
      <c r="D16" s="81">
        <v>41000</v>
      </c>
      <c r="E16" s="81">
        <v>41000</v>
      </c>
      <c r="F16" s="81">
        <f t="shared" si="9"/>
        <v>41000</v>
      </c>
      <c r="G16" s="81">
        <f t="shared" si="9"/>
        <v>41000</v>
      </c>
      <c r="H16" s="81">
        <f t="shared" si="9"/>
        <v>41000</v>
      </c>
      <c r="I16" s="81"/>
      <c r="J16" s="81"/>
      <c r="K16" s="81"/>
      <c r="L16" s="81">
        <f t="shared" si="10"/>
        <v>0</v>
      </c>
      <c r="M16" s="81">
        <f t="shared" si="10"/>
        <v>0</v>
      </c>
      <c r="N16" s="81">
        <f t="shared" si="10"/>
        <v>0</v>
      </c>
      <c r="O16" s="81">
        <v>0</v>
      </c>
      <c r="P16" s="81"/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37">
        <f t="shared" si="11"/>
        <v>0</v>
      </c>
      <c r="Y16" s="37">
        <f t="shared" si="11"/>
        <v>0</v>
      </c>
      <c r="Z16" s="37">
        <f t="shared" si="11"/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6">
        <v>3000</v>
      </c>
      <c r="AH16" s="36">
        <v>3000</v>
      </c>
      <c r="AI16" s="35">
        <v>0</v>
      </c>
      <c r="AJ16" s="36">
        <f>4500-1500</f>
        <v>3000</v>
      </c>
      <c r="AK16" s="36">
        <v>3000</v>
      </c>
      <c r="AL16" s="35">
        <v>0</v>
      </c>
      <c r="AM16" s="36">
        <v>500</v>
      </c>
      <c r="AN16" s="36">
        <v>500</v>
      </c>
      <c r="AO16" s="35">
        <v>500</v>
      </c>
      <c r="AP16" s="37">
        <f t="shared" si="12"/>
        <v>6500</v>
      </c>
      <c r="AQ16" s="37">
        <f t="shared" si="12"/>
        <v>6500</v>
      </c>
      <c r="AR16" s="37">
        <f t="shared" si="12"/>
        <v>500</v>
      </c>
      <c r="AS16" s="36"/>
      <c r="AT16" s="36"/>
      <c r="AU16" s="35"/>
      <c r="AV16" s="35"/>
      <c r="AW16" s="35"/>
      <c r="AX16" s="35"/>
      <c r="AY16" s="35"/>
      <c r="AZ16" s="35">
        <f t="shared" si="13"/>
        <v>0</v>
      </c>
      <c r="BA16" s="35">
        <f t="shared" si="13"/>
        <v>0</v>
      </c>
      <c r="BB16" s="35">
        <f>SUM(AU16,AY16)</f>
        <v>0</v>
      </c>
      <c r="BC16" s="37">
        <f t="shared" si="14"/>
        <v>47500</v>
      </c>
      <c r="BD16" s="37">
        <f t="shared" si="14"/>
        <v>47500</v>
      </c>
      <c r="BE16" s="37">
        <f t="shared" si="14"/>
        <v>41500</v>
      </c>
      <c r="BF16" s="34" t="s">
        <v>78</v>
      </c>
      <c r="BH16" s="2"/>
      <c r="BI16" s="2"/>
      <c r="BL16" s="2"/>
      <c r="BM16" s="2"/>
    </row>
    <row r="17" spans="1:65" s="32" customFormat="1">
      <c r="A17" s="39" t="s">
        <v>79</v>
      </c>
      <c r="B17" s="25" t="s">
        <v>80</v>
      </c>
      <c r="C17" s="41">
        <f>SUM(C18:C21)</f>
        <v>222714</v>
      </c>
      <c r="D17" s="86">
        <f>SUM(D18:D21)</f>
        <v>222714</v>
      </c>
      <c r="E17" s="86">
        <f t="shared" ref="E17:AR17" si="15">SUM(E18:E21)</f>
        <v>408983</v>
      </c>
      <c r="F17" s="86">
        <f t="shared" si="15"/>
        <v>222714</v>
      </c>
      <c r="G17" s="86">
        <f t="shared" si="15"/>
        <v>222714</v>
      </c>
      <c r="H17" s="86">
        <f t="shared" si="15"/>
        <v>408983</v>
      </c>
      <c r="I17" s="86">
        <f>SUM(I18:I21)</f>
        <v>0</v>
      </c>
      <c r="J17" s="86">
        <f>SUM(J18:J21)</f>
        <v>0</v>
      </c>
      <c r="K17" s="86">
        <f>SUM(K18:K21)</f>
        <v>0</v>
      </c>
      <c r="L17" s="83">
        <f t="shared" si="15"/>
        <v>0</v>
      </c>
      <c r="M17" s="83">
        <f t="shared" si="15"/>
        <v>0</v>
      </c>
      <c r="N17" s="83">
        <f t="shared" si="15"/>
        <v>0</v>
      </c>
      <c r="O17" s="86">
        <f t="shared" si="15"/>
        <v>0</v>
      </c>
      <c r="P17" s="86">
        <f t="shared" si="15"/>
        <v>0</v>
      </c>
      <c r="Q17" s="86">
        <f t="shared" si="15"/>
        <v>0</v>
      </c>
      <c r="R17" s="83">
        <f>SUM(R18:R21)</f>
        <v>2040</v>
      </c>
      <c r="S17" s="86">
        <f>SUM(S18:S21)</f>
        <v>2040</v>
      </c>
      <c r="T17" s="86">
        <f t="shared" si="15"/>
        <v>0</v>
      </c>
      <c r="U17" s="86">
        <f>SUM(U18:U21)</f>
        <v>0</v>
      </c>
      <c r="V17" s="86">
        <f>SUM(V18:V21)</f>
        <v>0</v>
      </c>
      <c r="W17" s="86">
        <f t="shared" si="15"/>
        <v>0</v>
      </c>
      <c r="X17" s="43">
        <f t="shared" si="15"/>
        <v>2040</v>
      </c>
      <c r="Y17" s="43">
        <f t="shared" si="15"/>
        <v>2040</v>
      </c>
      <c r="Z17" s="43">
        <f t="shared" si="15"/>
        <v>0</v>
      </c>
      <c r="AA17" s="43">
        <f>SUM(AA18:AA21)</f>
        <v>0</v>
      </c>
      <c r="AB17" s="43">
        <f>SUM(AB18:AB21)</f>
        <v>0</v>
      </c>
      <c r="AC17" s="43">
        <f t="shared" si="15"/>
        <v>0</v>
      </c>
      <c r="AD17" s="43">
        <f t="shared" si="15"/>
        <v>0</v>
      </c>
      <c r="AE17" s="43">
        <f t="shared" si="15"/>
        <v>0</v>
      </c>
      <c r="AF17" s="43">
        <f t="shared" si="15"/>
        <v>0</v>
      </c>
      <c r="AG17" s="42">
        <f>SUM(AG18:AG21)</f>
        <v>20200</v>
      </c>
      <c r="AH17" s="42">
        <f>SUM(AH18:AH21)</f>
        <v>20200</v>
      </c>
      <c r="AI17" s="43">
        <f t="shared" si="15"/>
        <v>0</v>
      </c>
      <c r="AJ17" s="42">
        <f t="shared" si="15"/>
        <v>24200</v>
      </c>
      <c r="AK17" s="42">
        <f>SUM(AK18:AK21)</f>
        <v>24200</v>
      </c>
      <c r="AL17" s="43">
        <f t="shared" si="15"/>
        <v>0</v>
      </c>
      <c r="AM17" s="42">
        <f t="shared" si="15"/>
        <v>6260</v>
      </c>
      <c r="AN17" s="42">
        <f t="shared" si="15"/>
        <v>6260</v>
      </c>
      <c r="AO17" s="43">
        <f t="shared" si="15"/>
        <v>6600</v>
      </c>
      <c r="AP17" s="43">
        <f t="shared" si="15"/>
        <v>50660</v>
      </c>
      <c r="AQ17" s="43">
        <f t="shared" si="15"/>
        <v>50660</v>
      </c>
      <c r="AR17" s="43">
        <f t="shared" si="15"/>
        <v>6600</v>
      </c>
      <c r="AS17" s="42">
        <f>SUM(AS18:AS21)</f>
        <v>3500</v>
      </c>
      <c r="AT17" s="42">
        <f>SUM(AT18:AT21)</f>
        <v>3500</v>
      </c>
      <c r="AU17" s="43">
        <f t="shared" ref="AU17:BE17" si="16">SUM(AU18:AU21)</f>
        <v>7000</v>
      </c>
      <c r="AV17" s="43">
        <f t="shared" si="16"/>
        <v>0</v>
      </c>
      <c r="AW17" s="43">
        <f t="shared" si="16"/>
        <v>0</v>
      </c>
      <c r="AX17" s="43">
        <f t="shared" si="16"/>
        <v>0</v>
      </c>
      <c r="AY17" s="43">
        <f t="shared" si="16"/>
        <v>0</v>
      </c>
      <c r="AZ17" s="43">
        <f t="shared" si="16"/>
        <v>3500</v>
      </c>
      <c r="BA17" s="43">
        <f t="shared" si="16"/>
        <v>3500</v>
      </c>
      <c r="BB17" s="43">
        <f t="shared" si="16"/>
        <v>7000</v>
      </c>
      <c r="BC17" s="43">
        <f t="shared" si="16"/>
        <v>278914</v>
      </c>
      <c r="BD17" s="43">
        <f t="shared" si="16"/>
        <v>278914</v>
      </c>
      <c r="BE17" s="43">
        <f t="shared" si="16"/>
        <v>422583</v>
      </c>
      <c r="BF17" s="25" t="s">
        <v>80</v>
      </c>
    </row>
    <row r="18" spans="1:65">
      <c r="A18" s="33" t="s">
        <v>81</v>
      </c>
      <c r="B18" s="34" t="s">
        <v>82</v>
      </c>
      <c r="C18" s="35">
        <v>128796</v>
      </c>
      <c r="D18" s="81">
        <v>128796</v>
      </c>
      <c r="E18" s="81">
        <v>261797</v>
      </c>
      <c r="F18" s="81">
        <f t="shared" ref="F18:H21" si="17">SUM(C18)</f>
        <v>128796</v>
      </c>
      <c r="G18" s="81">
        <f t="shared" si="17"/>
        <v>128796</v>
      </c>
      <c r="H18" s="81">
        <f t="shared" si="17"/>
        <v>261797</v>
      </c>
      <c r="I18" s="81"/>
      <c r="J18" s="81"/>
      <c r="K18" s="81"/>
      <c r="L18" s="81">
        <f t="shared" ref="L18:N21" si="18">SUM(I18)</f>
        <v>0</v>
      </c>
      <c r="M18" s="81">
        <f t="shared" si="18"/>
        <v>0</v>
      </c>
      <c r="N18" s="81">
        <f t="shared" si="18"/>
        <v>0</v>
      </c>
      <c r="O18" s="81">
        <v>0</v>
      </c>
      <c r="P18" s="81"/>
      <c r="Q18" s="81">
        <v>0</v>
      </c>
      <c r="R18" s="81">
        <v>1300</v>
      </c>
      <c r="S18" s="81">
        <v>1300</v>
      </c>
      <c r="T18" s="81"/>
      <c r="U18" s="81">
        <v>0</v>
      </c>
      <c r="V18" s="81">
        <v>0</v>
      </c>
      <c r="W18" s="81">
        <v>0</v>
      </c>
      <c r="X18" s="37">
        <f t="shared" ref="X18:Z21" si="19">SUM(O18,R18,U18)</f>
        <v>1300</v>
      </c>
      <c r="Y18" s="37">
        <f t="shared" si="19"/>
        <v>1300</v>
      </c>
      <c r="Z18" s="37">
        <f t="shared" si="19"/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6">
        <v>12100</v>
      </c>
      <c r="AH18" s="36">
        <v>12100</v>
      </c>
      <c r="AI18" s="35">
        <v>0</v>
      </c>
      <c r="AJ18" s="36">
        <v>14500</v>
      </c>
      <c r="AK18" s="36">
        <v>14500</v>
      </c>
      <c r="AL18" s="35">
        <v>0</v>
      </c>
      <c r="AM18" s="36">
        <f>2650+860</f>
        <v>3510</v>
      </c>
      <c r="AN18" s="36">
        <v>3510</v>
      </c>
      <c r="AO18" s="35">
        <v>4000</v>
      </c>
      <c r="AP18" s="37">
        <f t="shared" ref="AP18:AR21" si="20">SUM(AA18,AD18,AG18,AM18,AJ18,)</f>
        <v>30110</v>
      </c>
      <c r="AQ18" s="37">
        <f t="shared" si="20"/>
        <v>30110</v>
      </c>
      <c r="AR18" s="37">
        <f t="shared" si="20"/>
        <v>4000</v>
      </c>
      <c r="AS18" s="36">
        <v>1800</v>
      </c>
      <c r="AT18" s="36">
        <v>1800</v>
      </c>
      <c r="AU18" s="35">
        <v>3000</v>
      </c>
      <c r="AV18" s="35"/>
      <c r="AW18" s="35"/>
      <c r="AX18" s="35"/>
      <c r="AY18" s="35"/>
      <c r="AZ18" s="35">
        <f t="shared" ref="AZ18:BA21" si="21">SUM(AS18,AV18)</f>
        <v>1800</v>
      </c>
      <c r="BA18" s="35">
        <f t="shared" si="21"/>
        <v>1800</v>
      </c>
      <c r="BB18" s="35">
        <f>SUM(AU18,AY18)</f>
        <v>3000</v>
      </c>
      <c r="BC18" s="37">
        <f t="shared" ref="BC18:BE21" si="22">SUM(F18,X18,AP18,AZ18,L18)</f>
        <v>162006</v>
      </c>
      <c r="BD18" s="37">
        <f t="shared" si="22"/>
        <v>162006</v>
      </c>
      <c r="BE18" s="37">
        <f t="shared" si="22"/>
        <v>268797</v>
      </c>
      <c r="BF18" s="34" t="s">
        <v>82</v>
      </c>
      <c r="BH18" s="2"/>
      <c r="BI18" s="2"/>
      <c r="BL18" s="2"/>
      <c r="BM18" s="2"/>
    </row>
    <row r="19" spans="1:65">
      <c r="A19" s="33" t="s">
        <v>83</v>
      </c>
      <c r="B19" s="34" t="s">
        <v>84</v>
      </c>
      <c r="C19" s="35"/>
      <c r="D19" s="81"/>
      <c r="E19" s="81"/>
      <c r="F19" s="81">
        <f t="shared" si="17"/>
        <v>0</v>
      </c>
      <c r="G19" s="81">
        <f t="shared" si="17"/>
        <v>0</v>
      </c>
      <c r="H19" s="81">
        <f t="shared" si="17"/>
        <v>0</v>
      </c>
      <c r="I19" s="81"/>
      <c r="J19" s="81">
        <f>SUM(G19)</f>
        <v>0</v>
      </c>
      <c r="K19" s="81"/>
      <c r="L19" s="81">
        <f t="shared" si="18"/>
        <v>0</v>
      </c>
      <c r="M19" s="81">
        <f t="shared" si="18"/>
        <v>0</v>
      </c>
      <c r="N19" s="81">
        <f t="shared" si="18"/>
        <v>0</v>
      </c>
      <c r="O19" s="81">
        <v>0</v>
      </c>
      <c r="P19" s="81"/>
      <c r="Q19" s="81">
        <v>0</v>
      </c>
      <c r="R19" s="81">
        <v>0</v>
      </c>
      <c r="S19" s="81">
        <v>0</v>
      </c>
      <c r="T19" s="81"/>
      <c r="U19" s="81">
        <v>0</v>
      </c>
      <c r="V19" s="81">
        <v>0</v>
      </c>
      <c r="W19" s="81">
        <v>0</v>
      </c>
      <c r="X19" s="37">
        <f t="shared" si="19"/>
        <v>0</v>
      </c>
      <c r="Y19" s="37">
        <f t="shared" si="19"/>
        <v>0</v>
      </c>
      <c r="Z19" s="37">
        <f t="shared" si="19"/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6"/>
      <c r="AH19" s="36"/>
      <c r="AI19" s="35">
        <v>0</v>
      </c>
      <c r="AJ19" s="36"/>
      <c r="AK19" s="36"/>
      <c r="AL19" s="35">
        <v>0</v>
      </c>
      <c r="AM19" s="36"/>
      <c r="AN19" s="36"/>
      <c r="AO19" s="35"/>
      <c r="AP19" s="37">
        <f t="shared" si="20"/>
        <v>0</v>
      </c>
      <c r="AQ19" s="37">
        <f t="shared" si="20"/>
        <v>0</v>
      </c>
      <c r="AR19" s="37">
        <f t="shared" si="20"/>
        <v>0</v>
      </c>
      <c r="AS19" s="36"/>
      <c r="AT19" s="36"/>
      <c r="AU19" s="35"/>
      <c r="AV19" s="35">
        <v>0</v>
      </c>
      <c r="AW19" s="35">
        <v>0</v>
      </c>
      <c r="AX19" s="35"/>
      <c r="AY19" s="35">
        <v>0</v>
      </c>
      <c r="AZ19" s="35">
        <f t="shared" si="21"/>
        <v>0</v>
      </c>
      <c r="BA19" s="35">
        <f t="shared" si="21"/>
        <v>0</v>
      </c>
      <c r="BB19" s="35">
        <f>SUM(AU19,AY19)</f>
        <v>0</v>
      </c>
      <c r="BC19" s="37">
        <f t="shared" si="22"/>
        <v>0</v>
      </c>
      <c r="BD19" s="37">
        <f t="shared" si="22"/>
        <v>0</v>
      </c>
      <c r="BE19" s="37">
        <f t="shared" si="22"/>
        <v>0</v>
      </c>
      <c r="BF19" s="34" t="s">
        <v>84</v>
      </c>
      <c r="BH19" s="2"/>
      <c r="BI19" s="2"/>
      <c r="BL19" s="2"/>
      <c r="BM19" s="2"/>
    </row>
    <row r="20" spans="1:65">
      <c r="A20" s="33" t="s">
        <v>85</v>
      </c>
      <c r="B20" s="34" t="s">
        <v>86</v>
      </c>
      <c r="C20" s="35">
        <v>56194</v>
      </c>
      <c r="D20" s="81">
        <v>56194</v>
      </c>
      <c r="E20" s="81">
        <v>102839</v>
      </c>
      <c r="F20" s="81">
        <f t="shared" si="17"/>
        <v>56194</v>
      </c>
      <c r="G20" s="81">
        <f t="shared" si="17"/>
        <v>56194</v>
      </c>
      <c r="H20" s="81">
        <f t="shared" si="17"/>
        <v>102839</v>
      </c>
      <c r="I20" s="81"/>
      <c r="J20" s="81"/>
      <c r="K20" s="81"/>
      <c r="L20" s="81">
        <f t="shared" si="18"/>
        <v>0</v>
      </c>
      <c r="M20" s="81">
        <f t="shared" si="18"/>
        <v>0</v>
      </c>
      <c r="N20" s="81">
        <f t="shared" si="18"/>
        <v>0</v>
      </c>
      <c r="O20" s="81">
        <v>0</v>
      </c>
      <c r="P20" s="81"/>
      <c r="Q20" s="81">
        <v>0</v>
      </c>
      <c r="R20" s="81">
        <v>520</v>
      </c>
      <c r="S20" s="81">
        <v>520</v>
      </c>
      <c r="T20" s="81"/>
      <c r="U20" s="81">
        <v>0</v>
      </c>
      <c r="V20" s="81">
        <v>0</v>
      </c>
      <c r="W20" s="81">
        <v>0</v>
      </c>
      <c r="X20" s="37">
        <f t="shared" si="19"/>
        <v>520</v>
      </c>
      <c r="Y20" s="37">
        <f t="shared" si="19"/>
        <v>520</v>
      </c>
      <c r="Z20" s="37">
        <f t="shared" si="19"/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6">
        <v>5100</v>
      </c>
      <c r="AH20" s="36">
        <v>5100</v>
      </c>
      <c r="AI20" s="35">
        <v>0</v>
      </c>
      <c r="AJ20" s="36">
        <v>6100</v>
      </c>
      <c r="AK20" s="36">
        <v>6100</v>
      </c>
      <c r="AL20" s="35">
        <v>0</v>
      </c>
      <c r="AM20" s="36">
        <f>1600+340</f>
        <v>1940</v>
      </c>
      <c r="AN20" s="36">
        <v>1940</v>
      </c>
      <c r="AO20" s="35">
        <v>1800</v>
      </c>
      <c r="AP20" s="37">
        <f t="shared" si="20"/>
        <v>13140</v>
      </c>
      <c r="AQ20" s="37">
        <f t="shared" si="20"/>
        <v>13140</v>
      </c>
      <c r="AR20" s="37">
        <f t="shared" si="20"/>
        <v>1800</v>
      </c>
      <c r="AS20" s="36">
        <v>1000</v>
      </c>
      <c r="AT20" s="36">
        <v>1000</v>
      </c>
      <c r="AU20" s="35">
        <v>2500</v>
      </c>
      <c r="AV20" s="35"/>
      <c r="AW20" s="35"/>
      <c r="AX20" s="35"/>
      <c r="AY20" s="35"/>
      <c r="AZ20" s="35">
        <f t="shared" si="21"/>
        <v>1000</v>
      </c>
      <c r="BA20" s="35">
        <f t="shared" si="21"/>
        <v>1000</v>
      </c>
      <c r="BB20" s="35">
        <f>SUM(AU20,AY20)</f>
        <v>2500</v>
      </c>
      <c r="BC20" s="37">
        <f t="shared" si="22"/>
        <v>70854</v>
      </c>
      <c r="BD20" s="37">
        <f t="shared" si="22"/>
        <v>70854</v>
      </c>
      <c r="BE20" s="37">
        <f t="shared" si="22"/>
        <v>107139</v>
      </c>
      <c r="BF20" s="34" t="s">
        <v>86</v>
      </c>
      <c r="BH20" s="2"/>
      <c r="BI20" s="2"/>
      <c r="BL20" s="2"/>
      <c r="BM20" s="2"/>
    </row>
    <row r="21" spans="1:65">
      <c r="A21" s="33" t="s">
        <v>87</v>
      </c>
      <c r="B21" s="34" t="s">
        <v>88</v>
      </c>
      <c r="C21" s="35">
        <v>37724</v>
      </c>
      <c r="D21" s="81">
        <v>37724</v>
      </c>
      <c r="E21" s="81">
        <v>44347</v>
      </c>
      <c r="F21" s="81">
        <f t="shared" si="17"/>
        <v>37724</v>
      </c>
      <c r="G21" s="81">
        <f t="shared" si="17"/>
        <v>37724</v>
      </c>
      <c r="H21" s="81">
        <f t="shared" si="17"/>
        <v>44347</v>
      </c>
      <c r="I21" s="81"/>
      <c r="J21" s="81"/>
      <c r="K21" s="81"/>
      <c r="L21" s="81">
        <f t="shared" si="18"/>
        <v>0</v>
      </c>
      <c r="M21" s="81">
        <f t="shared" si="18"/>
        <v>0</v>
      </c>
      <c r="N21" s="81">
        <f t="shared" si="18"/>
        <v>0</v>
      </c>
      <c r="O21" s="81">
        <v>0</v>
      </c>
      <c r="P21" s="81"/>
      <c r="Q21" s="81">
        <v>0</v>
      </c>
      <c r="R21" s="81">
        <v>220</v>
      </c>
      <c r="S21" s="81">
        <v>220</v>
      </c>
      <c r="T21" s="81"/>
      <c r="U21" s="81">
        <v>0</v>
      </c>
      <c r="V21" s="81">
        <v>0</v>
      </c>
      <c r="W21" s="81">
        <v>0</v>
      </c>
      <c r="X21" s="37">
        <f t="shared" si="19"/>
        <v>220</v>
      </c>
      <c r="Y21" s="37">
        <f t="shared" si="19"/>
        <v>220</v>
      </c>
      <c r="Z21" s="37">
        <f t="shared" si="19"/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6">
        <v>3000</v>
      </c>
      <c r="AH21" s="36">
        <v>3000</v>
      </c>
      <c r="AI21" s="35">
        <v>0</v>
      </c>
      <c r="AJ21" s="36">
        <v>3600</v>
      </c>
      <c r="AK21" s="36">
        <v>3600</v>
      </c>
      <c r="AL21" s="35">
        <v>0</v>
      </c>
      <c r="AM21" s="36">
        <f>650+160</f>
        <v>810</v>
      </c>
      <c r="AN21" s="36">
        <v>810</v>
      </c>
      <c r="AO21" s="35">
        <v>800</v>
      </c>
      <c r="AP21" s="37">
        <f t="shared" si="20"/>
        <v>7410</v>
      </c>
      <c r="AQ21" s="37">
        <f t="shared" si="20"/>
        <v>7410</v>
      </c>
      <c r="AR21" s="37">
        <f t="shared" si="20"/>
        <v>800</v>
      </c>
      <c r="AS21" s="36">
        <v>700</v>
      </c>
      <c r="AT21" s="36">
        <v>700</v>
      </c>
      <c r="AU21" s="35">
        <v>1500</v>
      </c>
      <c r="AV21" s="35"/>
      <c r="AW21" s="35"/>
      <c r="AX21" s="56"/>
      <c r="AY21" s="35"/>
      <c r="AZ21" s="35">
        <f t="shared" si="21"/>
        <v>700</v>
      </c>
      <c r="BA21" s="35">
        <f t="shared" si="21"/>
        <v>700</v>
      </c>
      <c r="BB21" s="35">
        <f>SUM(AU21,AY21)</f>
        <v>1500</v>
      </c>
      <c r="BC21" s="37">
        <f t="shared" si="22"/>
        <v>46054</v>
      </c>
      <c r="BD21" s="37">
        <f t="shared" si="22"/>
        <v>46054</v>
      </c>
      <c r="BE21" s="37">
        <f t="shared" si="22"/>
        <v>46647</v>
      </c>
      <c r="BF21" s="34" t="s">
        <v>88</v>
      </c>
      <c r="BH21" s="2"/>
      <c r="BI21" s="2"/>
      <c r="BL21" s="2"/>
      <c r="BM21" s="2"/>
    </row>
    <row r="22" spans="1:65" s="32" customFormat="1">
      <c r="A22" s="39" t="s">
        <v>89</v>
      </c>
      <c r="B22" s="25" t="s">
        <v>90</v>
      </c>
      <c r="C22" s="28">
        <f>SUM(C23:C36)</f>
        <v>0</v>
      </c>
      <c r="D22" s="85">
        <f t="shared" ref="D22:AM22" si="23">SUM(D23:D36)</f>
        <v>0</v>
      </c>
      <c r="E22" s="85">
        <f t="shared" si="23"/>
        <v>0</v>
      </c>
      <c r="F22" s="85">
        <f t="shared" si="23"/>
        <v>0</v>
      </c>
      <c r="G22" s="85">
        <f t="shared" si="23"/>
        <v>0</v>
      </c>
      <c r="H22" s="85">
        <f t="shared" si="23"/>
        <v>0</v>
      </c>
      <c r="I22" s="80">
        <f>SUM(I23:I36)</f>
        <v>2500</v>
      </c>
      <c r="J22" s="80">
        <f>SUM(J23:J36)</f>
        <v>2500</v>
      </c>
      <c r="K22" s="85">
        <f>SUM(K23:K36)</f>
        <v>0</v>
      </c>
      <c r="L22" s="80">
        <f t="shared" si="23"/>
        <v>2500</v>
      </c>
      <c r="M22" s="80">
        <f t="shared" si="23"/>
        <v>2500</v>
      </c>
      <c r="N22" s="80">
        <f t="shared" si="23"/>
        <v>0</v>
      </c>
      <c r="O22" s="80">
        <f t="shared" si="23"/>
        <v>58351</v>
      </c>
      <c r="P22" s="85">
        <f t="shared" si="23"/>
        <v>92645</v>
      </c>
      <c r="Q22" s="85">
        <f t="shared" si="23"/>
        <v>4581</v>
      </c>
      <c r="R22" s="80">
        <f t="shared" si="23"/>
        <v>37360</v>
      </c>
      <c r="S22" s="85">
        <f t="shared" si="23"/>
        <v>37360</v>
      </c>
      <c r="T22" s="85">
        <f t="shared" si="23"/>
        <v>0</v>
      </c>
      <c r="U22" s="80">
        <f t="shared" si="23"/>
        <v>21500</v>
      </c>
      <c r="V22" s="85">
        <f>SUM(V23:V36)</f>
        <v>27000</v>
      </c>
      <c r="W22" s="85">
        <f t="shared" si="23"/>
        <v>0</v>
      </c>
      <c r="X22" s="28">
        <f t="shared" si="23"/>
        <v>117211</v>
      </c>
      <c r="Y22" s="28">
        <f t="shared" si="23"/>
        <v>157005</v>
      </c>
      <c r="Z22" s="28">
        <f t="shared" si="23"/>
        <v>4581</v>
      </c>
      <c r="AA22" s="28">
        <f>SUM(AA23:AA36)</f>
        <v>0</v>
      </c>
      <c r="AB22" s="28">
        <f>SUM(AB23:AB36)</f>
        <v>0</v>
      </c>
      <c r="AC22" s="28">
        <f t="shared" si="23"/>
        <v>0</v>
      </c>
      <c r="AD22" s="28">
        <f>SUM(AD23:AD36)</f>
        <v>351</v>
      </c>
      <c r="AE22" s="28">
        <f>SUM(AE23:AE36)</f>
        <v>351</v>
      </c>
      <c r="AF22" s="28">
        <f t="shared" si="23"/>
        <v>0</v>
      </c>
      <c r="AG22" s="27">
        <f t="shared" si="23"/>
        <v>27725</v>
      </c>
      <c r="AH22" s="27">
        <f>SUM(AH23:AH36)</f>
        <v>27725</v>
      </c>
      <c r="AI22" s="28">
        <f t="shared" si="23"/>
        <v>0</v>
      </c>
      <c r="AJ22" s="27">
        <f t="shared" si="23"/>
        <v>67875</v>
      </c>
      <c r="AK22" s="27">
        <f>SUM(AK23:AK36)</f>
        <v>67875</v>
      </c>
      <c r="AL22" s="28">
        <f>SUM(AL23:AL36)</f>
        <v>0</v>
      </c>
      <c r="AM22" s="28">
        <f t="shared" si="23"/>
        <v>0</v>
      </c>
      <c r="AN22" s="28">
        <f>SUM(AN23:AN36)</f>
        <v>0</v>
      </c>
      <c r="AO22" s="28">
        <f t="shared" ref="AO22:BE22" si="24">SUM(AO23:AO36)</f>
        <v>0</v>
      </c>
      <c r="AP22" s="28">
        <f t="shared" si="24"/>
        <v>95951</v>
      </c>
      <c r="AQ22" s="28">
        <f t="shared" si="24"/>
        <v>95951</v>
      </c>
      <c r="AR22" s="85">
        <f t="shared" si="24"/>
        <v>0</v>
      </c>
      <c r="AS22" s="80">
        <f t="shared" si="24"/>
        <v>11500</v>
      </c>
      <c r="AT22" s="85">
        <f>SUM(AT23:AT36)</f>
        <v>11791</v>
      </c>
      <c r="AU22" s="85">
        <f t="shared" si="24"/>
        <v>16000</v>
      </c>
      <c r="AV22" s="85">
        <f t="shared" si="24"/>
        <v>0</v>
      </c>
      <c r="AW22" s="85">
        <f t="shared" si="24"/>
        <v>0</v>
      </c>
      <c r="AX22" s="85">
        <f t="shared" si="24"/>
        <v>0</v>
      </c>
      <c r="AY22" s="85">
        <f t="shared" si="24"/>
        <v>0</v>
      </c>
      <c r="AZ22" s="85">
        <f t="shared" si="24"/>
        <v>11500</v>
      </c>
      <c r="BA22" s="28">
        <f t="shared" si="24"/>
        <v>11791</v>
      </c>
      <c r="BB22" s="28">
        <f t="shared" si="24"/>
        <v>16000</v>
      </c>
      <c r="BC22" s="28">
        <f t="shared" si="24"/>
        <v>227162</v>
      </c>
      <c r="BD22" s="28">
        <f t="shared" si="24"/>
        <v>267247</v>
      </c>
      <c r="BE22" s="28">
        <f t="shared" si="24"/>
        <v>20581</v>
      </c>
      <c r="BF22" s="25" t="s">
        <v>90</v>
      </c>
    </row>
    <row r="23" spans="1:65">
      <c r="A23" s="33" t="s">
        <v>91</v>
      </c>
      <c r="B23" s="34" t="s">
        <v>92</v>
      </c>
      <c r="C23" s="35">
        <v>0</v>
      </c>
      <c r="D23" s="81">
        <v>0</v>
      </c>
      <c r="E23" s="81">
        <v>0</v>
      </c>
      <c r="F23" s="81">
        <f t="shared" ref="F23:F36" si="25">SUM(C23)</f>
        <v>0</v>
      </c>
      <c r="G23" s="81">
        <f t="shared" ref="G23:G36" si="26">SUM(D23)</f>
        <v>0</v>
      </c>
      <c r="H23" s="81">
        <f t="shared" ref="H23:H36" si="27">SUM(E23)</f>
        <v>0</v>
      </c>
      <c r="I23" s="81">
        <v>1900</v>
      </c>
      <c r="J23" s="81">
        <v>1900</v>
      </c>
      <c r="K23" s="81">
        <f t="shared" ref="K23:K36" si="28">SUM(H23)</f>
        <v>0</v>
      </c>
      <c r="L23" s="81">
        <f t="shared" ref="L23:L36" si="29">SUM(I23)</f>
        <v>1900</v>
      </c>
      <c r="M23" s="81">
        <f t="shared" ref="M23:M36" si="30">SUM(J23)</f>
        <v>1900</v>
      </c>
      <c r="N23" s="81">
        <f t="shared" ref="N23:N36" si="31">SUM(K23)</f>
        <v>0</v>
      </c>
      <c r="O23" s="81"/>
      <c r="P23" s="81"/>
      <c r="Q23" s="81"/>
      <c r="R23" s="81"/>
      <c r="S23" s="81"/>
      <c r="T23" s="81"/>
      <c r="U23" s="81"/>
      <c r="V23" s="81"/>
      <c r="W23" s="81"/>
      <c r="X23" s="37">
        <f t="shared" ref="X23:X36" si="32">SUM(O23,R23,U23)</f>
        <v>0</v>
      </c>
      <c r="Y23" s="37">
        <f t="shared" ref="Y23:Y36" si="33">SUM(P23,S23,V23)</f>
        <v>0</v>
      </c>
      <c r="Z23" s="37">
        <f t="shared" ref="Z23:Z36" si="34">SUM(Q23,T23,W23)</f>
        <v>0</v>
      </c>
      <c r="AA23" s="35">
        <v>0</v>
      </c>
      <c r="AB23" s="35">
        <v>0</v>
      </c>
      <c r="AC23" s="35">
        <v>0</v>
      </c>
      <c r="AD23" s="35"/>
      <c r="AE23" s="35"/>
      <c r="AF23" s="35"/>
      <c r="AG23" s="36">
        <v>0</v>
      </c>
      <c r="AH23" s="36">
        <v>0</v>
      </c>
      <c r="AI23" s="35">
        <v>0</v>
      </c>
      <c r="AJ23" s="36">
        <v>25000</v>
      </c>
      <c r="AK23" s="36">
        <v>25000</v>
      </c>
      <c r="AL23" s="35">
        <v>0</v>
      </c>
      <c r="AM23" s="35">
        <v>0</v>
      </c>
      <c r="AN23" s="35">
        <v>0</v>
      </c>
      <c r="AO23" s="35">
        <v>0</v>
      </c>
      <c r="AP23" s="37">
        <f t="shared" ref="AP23:AP36" si="35">SUM(AA23,AD23,AG23,AM23,AJ23,)</f>
        <v>25000</v>
      </c>
      <c r="AQ23" s="37">
        <f t="shared" ref="AQ23:AQ36" si="36">SUM(AB23,AE23,AH23,AN23,AK23,)</f>
        <v>25000</v>
      </c>
      <c r="AR23" s="87">
        <f t="shared" ref="AR23:AR36" si="37">SUM(AC23,AF23,AI23,AO23,AL23,)</f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/>
      <c r="AY23" s="81">
        <v>0</v>
      </c>
      <c r="AZ23" s="81">
        <f t="shared" ref="AZ23:AZ36" si="38">SUM(AS23,AV23)</f>
        <v>0</v>
      </c>
      <c r="BA23" s="35">
        <f t="shared" ref="BA23:BA36" si="39">SUM(AT23,AW23)</f>
        <v>0</v>
      </c>
      <c r="BB23" s="35">
        <f t="shared" ref="BB23:BB36" si="40">SUM(AU23,AY23)</f>
        <v>0</v>
      </c>
      <c r="BC23" s="37">
        <f t="shared" ref="BC23:BC36" si="41">SUM(F23,X23,AP23,AZ23,L23)</f>
        <v>26900</v>
      </c>
      <c r="BD23" s="37">
        <f t="shared" ref="BD23:BD36" si="42">SUM(G23,Y23,AQ23,BA23,M23)</f>
        <v>26900</v>
      </c>
      <c r="BE23" s="37">
        <f t="shared" ref="BE23:BE36" si="43">SUM(H23,Z23,AR23,BB23,N23)</f>
        <v>0</v>
      </c>
      <c r="BF23" s="34" t="s">
        <v>92</v>
      </c>
      <c r="BH23" s="2"/>
      <c r="BI23" s="2"/>
      <c r="BL23" s="2"/>
      <c r="BM23" s="2"/>
    </row>
    <row r="24" spans="1:65">
      <c r="A24" s="33" t="s">
        <v>93</v>
      </c>
      <c r="B24" s="34" t="s">
        <v>94</v>
      </c>
      <c r="C24" s="35">
        <v>0</v>
      </c>
      <c r="D24" s="81">
        <v>0</v>
      </c>
      <c r="E24" s="81">
        <v>0</v>
      </c>
      <c r="F24" s="81">
        <f t="shared" si="25"/>
        <v>0</v>
      </c>
      <c r="G24" s="81">
        <f t="shared" si="26"/>
        <v>0</v>
      </c>
      <c r="H24" s="81">
        <f t="shared" si="27"/>
        <v>0</v>
      </c>
      <c r="I24" s="81">
        <v>0</v>
      </c>
      <c r="J24" s="81">
        <v>0</v>
      </c>
      <c r="K24" s="81">
        <f t="shared" si="28"/>
        <v>0</v>
      </c>
      <c r="L24" s="81">
        <f t="shared" si="29"/>
        <v>0</v>
      </c>
      <c r="M24" s="81">
        <f t="shared" si="30"/>
        <v>0</v>
      </c>
      <c r="N24" s="81">
        <f t="shared" si="31"/>
        <v>0</v>
      </c>
      <c r="O24" s="81"/>
      <c r="P24" s="81"/>
      <c r="Q24" s="81"/>
      <c r="R24" s="81"/>
      <c r="S24" s="81"/>
      <c r="T24" s="81">
        <v>0</v>
      </c>
      <c r="U24" s="81">
        <v>0</v>
      </c>
      <c r="V24" s="81">
        <v>0</v>
      </c>
      <c r="W24" s="81"/>
      <c r="X24" s="37">
        <f t="shared" si="32"/>
        <v>0</v>
      </c>
      <c r="Y24" s="37">
        <f t="shared" si="33"/>
        <v>0</v>
      </c>
      <c r="Z24" s="37">
        <f t="shared" si="34"/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6"/>
      <c r="AH24" s="36"/>
      <c r="AI24" s="35">
        <v>0</v>
      </c>
      <c r="AJ24" s="36"/>
      <c r="AK24" s="36"/>
      <c r="AL24" s="35">
        <v>0</v>
      </c>
      <c r="AM24" s="35">
        <v>0</v>
      </c>
      <c r="AN24" s="35">
        <v>0</v>
      </c>
      <c r="AO24" s="35">
        <v>0</v>
      </c>
      <c r="AP24" s="37">
        <f t="shared" si="35"/>
        <v>0</v>
      </c>
      <c r="AQ24" s="37">
        <f t="shared" si="36"/>
        <v>0</v>
      </c>
      <c r="AR24" s="87">
        <f t="shared" si="37"/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/>
      <c r="AY24" s="81">
        <v>0</v>
      </c>
      <c r="AZ24" s="81">
        <f t="shared" si="38"/>
        <v>0</v>
      </c>
      <c r="BA24" s="35">
        <f t="shared" si="39"/>
        <v>0</v>
      </c>
      <c r="BB24" s="35">
        <f t="shared" si="40"/>
        <v>0</v>
      </c>
      <c r="BC24" s="37">
        <f t="shared" si="41"/>
        <v>0</v>
      </c>
      <c r="BD24" s="37">
        <f t="shared" si="42"/>
        <v>0</v>
      </c>
      <c r="BE24" s="37">
        <f t="shared" si="43"/>
        <v>0</v>
      </c>
      <c r="BF24" s="34" t="s">
        <v>94</v>
      </c>
      <c r="BH24" s="2"/>
      <c r="BI24" s="2"/>
      <c r="BL24" s="2"/>
      <c r="BM24" s="2"/>
    </row>
    <row r="25" spans="1:65">
      <c r="A25" s="33" t="s">
        <v>95</v>
      </c>
      <c r="B25" s="34" t="s">
        <v>96</v>
      </c>
      <c r="C25" s="35">
        <v>0</v>
      </c>
      <c r="D25" s="81">
        <v>0</v>
      </c>
      <c r="E25" s="81">
        <v>0</v>
      </c>
      <c r="F25" s="81">
        <f t="shared" si="25"/>
        <v>0</v>
      </c>
      <c r="G25" s="81">
        <f t="shared" si="26"/>
        <v>0</v>
      </c>
      <c r="H25" s="81">
        <f t="shared" si="27"/>
        <v>0</v>
      </c>
      <c r="I25" s="81">
        <v>0</v>
      </c>
      <c r="J25" s="81">
        <v>0</v>
      </c>
      <c r="K25" s="81">
        <f t="shared" si="28"/>
        <v>0</v>
      </c>
      <c r="L25" s="81">
        <f t="shared" si="29"/>
        <v>0</v>
      </c>
      <c r="M25" s="81">
        <f t="shared" si="30"/>
        <v>0</v>
      </c>
      <c r="N25" s="81">
        <f t="shared" si="31"/>
        <v>0</v>
      </c>
      <c r="O25" s="81"/>
      <c r="P25" s="81"/>
      <c r="Q25" s="81"/>
      <c r="R25" s="81"/>
      <c r="S25" s="81"/>
      <c r="T25" s="81"/>
      <c r="U25" s="81">
        <v>150</v>
      </c>
      <c r="V25" s="81">
        <v>150</v>
      </c>
      <c r="W25" s="81"/>
      <c r="X25" s="37">
        <f t="shared" si="32"/>
        <v>150</v>
      </c>
      <c r="Y25" s="37">
        <f t="shared" si="33"/>
        <v>150</v>
      </c>
      <c r="Z25" s="37">
        <f t="shared" si="34"/>
        <v>0</v>
      </c>
      <c r="AA25" s="35">
        <v>0</v>
      </c>
      <c r="AB25" s="35">
        <v>0</v>
      </c>
      <c r="AC25" s="35">
        <v>0</v>
      </c>
      <c r="AD25" s="35">
        <v>351</v>
      </c>
      <c r="AE25" s="35">
        <v>351</v>
      </c>
      <c r="AF25" s="35"/>
      <c r="AG25" s="36">
        <v>2950</v>
      </c>
      <c r="AH25" s="36">
        <v>2950</v>
      </c>
      <c r="AI25" s="35">
        <v>0</v>
      </c>
      <c r="AJ25" s="36">
        <v>3200</v>
      </c>
      <c r="AK25" s="36">
        <v>3200</v>
      </c>
      <c r="AL25" s="35">
        <v>0</v>
      </c>
      <c r="AM25" s="35">
        <v>0</v>
      </c>
      <c r="AN25" s="35">
        <v>0</v>
      </c>
      <c r="AO25" s="35">
        <v>0</v>
      </c>
      <c r="AP25" s="37">
        <f t="shared" si="35"/>
        <v>6501</v>
      </c>
      <c r="AQ25" s="37">
        <f t="shared" si="36"/>
        <v>6501</v>
      </c>
      <c r="AR25" s="87">
        <f t="shared" si="37"/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1"/>
      <c r="AY25" s="81">
        <v>0</v>
      </c>
      <c r="AZ25" s="81">
        <f t="shared" si="38"/>
        <v>0</v>
      </c>
      <c r="BA25" s="35">
        <f t="shared" si="39"/>
        <v>0</v>
      </c>
      <c r="BB25" s="35">
        <f t="shared" si="40"/>
        <v>0</v>
      </c>
      <c r="BC25" s="37">
        <f t="shared" si="41"/>
        <v>6651</v>
      </c>
      <c r="BD25" s="37">
        <f t="shared" si="42"/>
        <v>6651</v>
      </c>
      <c r="BE25" s="37">
        <f t="shared" si="43"/>
        <v>0</v>
      </c>
      <c r="BF25" s="34" t="s">
        <v>96</v>
      </c>
      <c r="BH25" s="2"/>
      <c r="BI25" s="2"/>
      <c r="BL25" s="2"/>
      <c r="BM25" s="2"/>
    </row>
    <row r="26" spans="1:65">
      <c r="A26" s="33" t="s">
        <v>97</v>
      </c>
      <c r="B26" s="34" t="s">
        <v>98</v>
      </c>
      <c r="C26" s="35">
        <v>0</v>
      </c>
      <c r="D26" s="81">
        <v>0</v>
      </c>
      <c r="E26" s="81">
        <v>0</v>
      </c>
      <c r="F26" s="81">
        <f t="shared" si="25"/>
        <v>0</v>
      </c>
      <c r="G26" s="81">
        <f t="shared" si="26"/>
        <v>0</v>
      </c>
      <c r="H26" s="81">
        <f t="shared" si="27"/>
        <v>0</v>
      </c>
      <c r="I26" s="81">
        <v>0</v>
      </c>
      <c r="J26" s="81">
        <v>0</v>
      </c>
      <c r="K26" s="81">
        <f t="shared" si="28"/>
        <v>0</v>
      </c>
      <c r="L26" s="81">
        <f t="shared" si="29"/>
        <v>0</v>
      </c>
      <c r="M26" s="81">
        <f t="shared" si="30"/>
        <v>0</v>
      </c>
      <c r="N26" s="81">
        <f t="shared" si="31"/>
        <v>0</v>
      </c>
      <c r="O26" s="81"/>
      <c r="P26" s="81">
        <f>778-321</f>
        <v>457</v>
      </c>
      <c r="Q26" s="81"/>
      <c r="R26" s="81"/>
      <c r="S26" s="81"/>
      <c r="T26" s="81"/>
      <c r="U26" s="81">
        <v>300</v>
      </c>
      <c r="V26" s="81">
        <f>300-300</f>
        <v>0</v>
      </c>
      <c r="W26" s="81"/>
      <c r="X26" s="37">
        <f t="shared" si="32"/>
        <v>300</v>
      </c>
      <c r="Y26" s="37">
        <f t="shared" si="33"/>
        <v>457</v>
      </c>
      <c r="Z26" s="37">
        <f t="shared" si="34"/>
        <v>0</v>
      </c>
      <c r="AA26" s="35">
        <v>0</v>
      </c>
      <c r="AB26" s="35">
        <v>0</v>
      </c>
      <c r="AC26" s="35">
        <v>0</v>
      </c>
      <c r="AD26" s="35">
        <v>0</v>
      </c>
      <c r="AE26" s="35"/>
      <c r="AF26" s="35">
        <v>0</v>
      </c>
      <c r="AG26" s="36"/>
      <c r="AH26" s="36"/>
      <c r="AI26" s="35">
        <v>0</v>
      </c>
      <c r="AJ26" s="36"/>
      <c r="AK26" s="36"/>
      <c r="AL26" s="35">
        <v>0</v>
      </c>
      <c r="AM26" s="35">
        <v>0</v>
      </c>
      <c r="AN26" s="35">
        <v>0</v>
      </c>
      <c r="AO26" s="35">
        <v>0</v>
      </c>
      <c r="AP26" s="37">
        <f t="shared" si="35"/>
        <v>0</v>
      </c>
      <c r="AQ26" s="37">
        <f t="shared" si="36"/>
        <v>0</v>
      </c>
      <c r="AR26" s="87">
        <f t="shared" si="37"/>
        <v>0</v>
      </c>
      <c r="AS26" s="81">
        <v>0</v>
      </c>
      <c r="AT26" s="81">
        <v>0</v>
      </c>
      <c r="AU26" s="81">
        <v>0</v>
      </c>
      <c r="AV26" s="81">
        <v>0</v>
      </c>
      <c r="AW26" s="81">
        <v>0</v>
      </c>
      <c r="AX26" s="81"/>
      <c r="AY26" s="81">
        <v>0</v>
      </c>
      <c r="AZ26" s="81">
        <f t="shared" si="38"/>
        <v>0</v>
      </c>
      <c r="BA26" s="35">
        <f t="shared" si="39"/>
        <v>0</v>
      </c>
      <c r="BB26" s="35">
        <f t="shared" si="40"/>
        <v>0</v>
      </c>
      <c r="BC26" s="37">
        <f t="shared" si="41"/>
        <v>300</v>
      </c>
      <c r="BD26" s="37">
        <f t="shared" si="42"/>
        <v>457</v>
      </c>
      <c r="BE26" s="37">
        <f t="shared" si="43"/>
        <v>0</v>
      </c>
      <c r="BF26" s="34" t="s">
        <v>98</v>
      </c>
      <c r="BH26" s="2"/>
      <c r="BI26" s="2"/>
      <c r="BL26" s="2"/>
      <c r="BM26" s="2"/>
    </row>
    <row r="27" spans="1:65">
      <c r="A27" s="33" t="s">
        <v>99</v>
      </c>
      <c r="B27" s="34" t="s">
        <v>100</v>
      </c>
      <c r="C27" s="35">
        <v>0</v>
      </c>
      <c r="D27" s="81">
        <v>0</v>
      </c>
      <c r="E27" s="81">
        <v>0</v>
      </c>
      <c r="F27" s="81">
        <f t="shared" si="25"/>
        <v>0</v>
      </c>
      <c r="G27" s="81">
        <f t="shared" si="26"/>
        <v>0</v>
      </c>
      <c r="H27" s="81">
        <f t="shared" si="27"/>
        <v>0</v>
      </c>
      <c r="I27" s="81">
        <v>600</v>
      </c>
      <c r="J27" s="81">
        <v>600</v>
      </c>
      <c r="K27" s="81">
        <f t="shared" si="28"/>
        <v>0</v>
      </c>
      <c r="L27" s="81">
        <f t="shared" si="29"/>
        <v>600</v>
      </c>
      <c r="M27" s="81">
        <f t="shared" si="30"/>
        <v>600</v>
      </c>
      <c r="N27" s="81">
        <f t="shared" si="31"/>
        <v>0</v>
      </c>
      <c r="O27" s="81">
        <v>2134</v>
      </c>
      <c r="P27" s="81">
        <f>2134+6200+1000+3342</f>
        <v>12676</v>
      </c>
      <c r="Q27" s="81">
        <v>2134</v>
      </c>
      <c r="R27" s="81">
        <v>2400</v>
      </c>
      <c r="S27" s="81">
        <v>2400</v>
      </c>
      <c r="T27" s="81"/>
      <c r="U27" s="81">
        <v>3200</v>
      </c>
      <c r="V27" s="81">
        <f>3200-900+1460</f>
        <v>3760</v>
      </c>
      <c r="W27" s="81"/>
      <c r="X27" s="37">
        <f t="shared" si="32"/>
        <v>7734</v>
      </c>
      <c r="Y27" s="37">
        <f t="shared" si="33"/>
        <v>18836</v>
      </c>
      <c r="Z27" s="37">
        <f t="shared" si="34"/>
        <v>2134</v>
      </c>
      <c r="AA27" s="35">
        <v>0</v>
      </c>
      <c r="AB27" s="35">
        <v>0</v>
      </c>
      <c r="AC27" s="35">
        <v>0</v>
      </c>
      <c r="AD27" s="35"/>
      <c r="AE27" s="35"/>
      <c r="AF27" s="35"/>
      <c r="AG27" s="36">
        <f>7439-500</f>
        <v>6939</v>
      </c>
      <c r="AH27" s="36">
        <v>6939</v>
      </c>
      <c r="AI27" s="35">
        <v>0</v>
      </c>
      <c r="AJ27" s="36">
        <f>17400-7725</f>
        <v>9675</v>
      </c>
      <c r="AK27" s="36">
        <v>9675</v>
      </c>
      <c r="AL27" s="35">
        <v>0</v>
      </c>
      <c r="AM27" s="35">
        <v>0</v>
      </c>
      <c r="AN27" s="35">
        <v>0</v>
      </c>
      <c r="AO27" s="35">
        <v>0</v>
      </c>
      <c r="AP27" s="37">
        <f t="shared" si="35"/>
        <v>16614</v>
      </c>
      <c r="AQ27" s="37">
        <f t="shared" si="36"/>
        <v>16614</v>
      </c>
      <c r="AR27" s="87">
        <f t="shared" si="37"/>
        <v>0</v>
      </c>
      <c r="AS27" s="81">
        <v>4000</v>
      </c>
      <c r="AT27" s="81">
        <v>4000</v>
      </c>
      <c r="AU27" s="81">
        <v>5000</v>
      </c>
      <c r="AV27" s="81">
        <v>0</v>
      </c>
      <c r="AW27" s="81">
        <v>0</v>
      </c>
      <c r="AX27" s="81"/>
      <c r="AY27" s="81">
        <v>0</v>
      </c>
      <c r="AZ27" s="81">
        <f t="shared" si="38"/>
        <v>4000</v>
      </c>
      <c r="BA27" s="35">
        <f t="shared" si="39"/>
        <v>4000</v>
      </c>
      <c r="BB27" s="35">
        <f t="shared" si="40"/>
        <v>5000</v>
      </c>
      <c r="BC27" s="37">
        <f t="shared" si="41"/>
        <v>28948</v>
      </c>
      <c r="BD27" s="37">
        <f t="shared" si="42"/>
        <v>40050</v>
      </c>
      <c r="BE27" s="37">
        <f t="shared" si="43"/>
        <v>7134</v>
      </c>
      <c r="BF27" s="34" t="s">
        <v>100</v>
      </c>
      <c r="BH27" s="2"/>
      <c r="BI27" s="2"/>
      <c r="BL27" s="2"/>
      <c r="BM27" s="2"/>
    </row>
    <row r="28" spans="1:65">
      <c r="A28" s="33" t="s">
        <v>101</v>
      </c>
      <c r="B28" s="34" t="s">
        <v>102</v>
      </c>
      <c r="C28" s="35">
        <v>0</v>
      </c>
      <c r="D28" s="81">
        <v>0</v>
      </c>
      <c r="E28" s="81">
        <v>0</v>
      </c>
      <c r="F28" s="81">
        <f t="shared" si="25"/>
        <v>0</v>
      </c>
      <c r="G28" s="81">
        <f t="shared" si="26"/>
        <v>0</v>
      </c>
      <c r="H28" s="81">
        <f t="shared" si="27"/>
        <v>0</v>
      </c>
      <c r="I28" s="81">
        <f t="shared" ref="I28:I36" si="44">SUM(F28)</f>
        <v>0</v>
      </c>
      <c r="J28" s="81">
        <f t="shared" ref="J28:J36" si="45">SUM(G28)</f>
        <v>0</v>
      </c>
      <c r="K28" s="81">
        <f t="shared" si="28"/>
        <v>0</v>
      </c>
      <c r="L28" s="81">
        <f t="shared" si="29"/>
        <v>0</v>
      </c>
      <c r="M28" s="81">
        <f t="shared" si="30"/>
        <v>0</v>
      </c>
      <c r="N28" s="81">
        <f t="shared" si="31"/>
        <v>0</v>
      </c>
      <c r="O28" s="81">
        <v>53770</v>
      </c>
      <c r="P28" s="81">
        <f>53770-19130-5200+34500-4878</f>
        <v>59062</v>
      </c>
      <c r="Q28" s="81"/>
      <c r="R28" s="81">
        <v>20000</v>
      </c>
      <c r="S28" s="81">
        <v>20000</v>
      </c>
      <c r="T28" s="81"/>
      <c r="U28" s="81">
        <v>7250</v>
      </c>
      <c r="V28" s="81">
        <f>7250-2750+2500-2407</f>
        <v>4593</v>
      </c>
      <c r="W28" s="81"/>
      <c r="X28" s="37">
        <f t="shared" si="32"/>
        <v>81020</v>
      </c>
      <c r="Y28" s="37">
        <f t="shared" si="33"/>
        <v>83655</v>
      </c>
      <c r="Z28" s="37">
        <f t="shared" si="34"/>
        <v>0</v>
      </c>
      <c r="AA28" s="35"/>
      <c r="AB28" s="35"/>
      <c r="AC28" s="35"/>
      <c r="AD28" s="35"/>
      <c r="AE28" s="35"/>
      <c r="AF28" s="35"/>
      <c r="AG28" s="36">
        <v>7000</v>
      </c>
      <c r="AH28" s="36">
        <v>7000</v>
      </c>
      <c r="AI28" s="35"/>
      <c r="AJ28" s="36">
        <f>12775-2775</f>
        <v>10000</v>
      </c>
      <c r="AK28" s="36">
        <v>10000</v>
      </c>
      <c r="AL28" s="35"/>
      <c r="AM28" s="35">
        <v>0</v>
      </c>
      <c r="AN28" s="35">
        <v>0</v>
      </c>
      <c r="AO28" s="35">
        <v>0</v>
      </c>
      <c r="AP28" s="37">
        <f t="shared" si="35"/>
        <v>17000</v>
      </c>
      <c r="AQ28" s="37">
        <f t="shared" si="36"/>
        <v>17000</v>
      </c>
      <c r="AR28" s="87">
        <f t="shared" si="37"/>
        <v>0</v>
      </c>
      <c r="AS28" s="81">
        <v>4000</v>
      </c>
      <c r="AT28" s="81">
        <v>4000</v>
      </c>
      <c r="AU28" s="81">
        <v>5000</v>
      </c>
      <c r="AV28" s="81">
        <v>0</v>
      </c>
      <c r="AW28" s="81">
        <v>0</v>
      </c>
      <c r="AX28" s="81"/>
      <c r="AY28" s="81">
        <v>0</v>
      </c>
      <c r="AZ28" s="81">
        <f t="shared" si="38"/>
        <v>4000</v>
      </c>
      <c r="BA28" s="35">
        <f t="shared" si="39"/>
        <v>4000</v>
      </c>
      <c r="BB28" s="35">
        <f t="shared" si="40"/>
        <v>5000</v>
      </c>
      <c r="BC28" s="37">
        <f t="shared" si="41"/>
        <v>102020</v>
      </c>
      <c r="BD28" s="37">
        <f t="shared" si="42"/>
        <v>104655</v>
      </c>
      <c r="BE28" s="37">
        <f t="shared" si="43"/>
        <v>5000</v>
      </c>
      <c r="BF28" s="34" t="s">
        <v>102</v>
      </c>
      <c r="BH28" s="2"/>
      <c r="BI28" s="2"/>
      <c r="BL28" s="2"/>
      <c r="BM28" s="2"/>
    </row>
    <row r="29" spans="1:65">
      <c r="A29" s="33" t="s">
        <v>103</v>
      </c>
      <c r="B29" s="34" t="s">
        <v>104</v>
      </c>
      <c r="C29" s="35">
        <v>0</v>
      </c>
      <c r="D29" s="81">
        <v>0</v>
      </c>
      <c r="E29" s="81">
        <v>0</v>
      </c>
      <c r="F29" s="81">
        <f t="shared" si="25"/>
        <v>0</v>
      </c>
      <c r="G29" s="81">
        <f t="shared" si="26"/>
        <v>0</v>
      </c>
      <c r="H29" s="81">
        <f t="shared" si="27"/>
        <v>0</v>
      </c>
      <c r="I29" s="81">
        <f t="shared" si="44"/>
        <v>0</v>
      </c>
      <c r="J29" s="81">
        <f t="shared" si="45"/>
        <v>0</v>
      </c>
      <c r="K29" s="81">
        <f t="shared" si="28"/>
        <v>0</v>
      </c>
      <c r="L29" s="81">
        <f t="shared" si="29"/>
        <v>0</v>
      </c>
      <c r="M29" s="81">
        <f t="shared" si="30"/>
        <v>0</v>
      </c>
      <c r="N29" s="81">
        <f t="shared" si="31"/>
        <v>0</v>
      </c>
      <c r="O29" s="81">
        <v>2447</v>
      </c>
      <c r="P29" s="81">
        <f>2447+11043+4200+1821</f>
        <v>19511</v>
      </c>
      <c r="Q29" s="81">
        <v>2447</v>
      </c>
      <c r="R29" s="81">
        <v>3000</v>
      </c>
      <c r="S29" s="81">
        <v>3000</v>
      </c>
      <c r="T29" s="81"/>
      <c r="U29" s="81">
        <v>7400</v>
      </c>
      <c r="V29" s="81">
        <f>7400-708+1280</f>
        <v>7972</v>
      </c>
      <c r="W29" s="81"/>
      <c r="X29" s="37">
        <f t="shared" si="32"/>
        <v>12847</v>
      </c>
      <c r="Y29" s="37">
        <f t="shared" si="33"/>
        <v>30483</v>
      </c>
      <c r="Z29" s="37">
        <f t="shared" si="34"/>
        <v>2447</v>
      </c>
      <c r="AA29" s="35"/>
      <c r="AB29" s="35"/>
      <c r="AC29" s="35"/>
      <c r="AD29" s="35"/>
      <c r="AE29" s="35"/>
      <c r="AF29" s="35"/>
      <c r="AG29" s="36">
        <v>5336</v>
      </c>
      <c r="AH29" s="36">
        <v>5336</v>
      </c>
      <c r="AI29" s="35"/>
      <c r="AJ29" s="36">
        <f>20000-10000</f>
        <v>10000</v>
      </c>
      <c r="AK29" s="36">
        <v>10000</v>
      </c>
      <c r="AL29" s="35"/>
      <c r="AM29" s="35">
        <v>0</v>
      </c>
      <c r="AN29" s="35">
        <v>0</v>
      </c>
      <c r="AO29" s="35">
        <v>0</v>
      </c>
      <c r="AP29" s="37">
        <f t="shared" si="35"/>
        <v>15336</v>
      </c>
      <c r="AQ29" s="37">
        <f t="shared" si="36"/>
        <v>15336</v>
      </c>
      <c r="AR29" s="87">
        <f t="shared" si="37"/>
        <v>0</v>
      </c>
      <c r="AS29" s="81">
        <v>3500</v>
      </c>
      <c r="AT29" s="81">
        <f>3500+291</f>
        <v>3791</v>
      </c>
      <c r="AU29" s="81">
        <v>6000</v>
      </c>
      <c r="AV29" s="81"/>
      <c r="AW29" s="81"/>
      <c r="AX29" s="81"/>
      <c r="AY29" s="81"/>
      <c r="AZ29" s="81">
        <f t="shared" si="38"/>
        <v>3500</v>
      </c>
      <c r="BA29" s="35">
        <f t="shared" si="39"/>
        <v>3791</v>
      </c>
      <c r="BB29" s="35">
        <f t="shared" si="40"/>
        <v>6000</v>
      </c>
      <c r="BC29" s="37">
        <f t="shared" si="41"/>
        <v>31683</v>
      </c>
      <c r="BD29" s="37">
        <f t="shared" si="42"/>
        <v>49610</v>
      </c>
      <c r="BE29" s="37">
        <f t="shared" si="43"/>
        <v>8447</v>
      </c>
      <c r="BF29" s="34" t="s">
        <v>104</v>
      </c>
      <c r="BH29" s="2"/>
      <c r="BI29" s="2"/>
      <c r="BL29" s="2"/>
      <c r="BM29" s="2"/>
    </row>
    <row r="30" spans="1:65">
      <c r="A30" s="33" t="s">
        <v>105</v>
      </c>
      <c r="B30" s="34" t="s">
        <v>106</v>
      </c>
      <c r="C30" s="35">
        <v>0</v>
      </c>
      <c r="D30" s="81">
        <v>0</v>
      </c>
      <c r="E30" s="81">
        <v>0</v>
      </c>
      <c r="F30" s="81">
        <f t="shared" si="25"/>
        <v>0</v>
      </c>
      <c r="G30" s="81">
        <f t="shared" si="26"/>
        <v>0</v>
      </c>
      <c r="H30" s="81">
        <f t="shared" si="27"/>
        <v>0</v>
      </c>
      <c r="I30" s="81">
        <f t="shared" si="44"/>
        <v>0</v>
      </c>
      <c r="J30" s="81">
        <f t="shared" si="45"/>
        <v>0</v>
      </c>
      <c r="K30" s="81">
        <f t="shared" si="28"/>
        <v>0</v>
      </c>
      <c r="L30" s="81">
        <f t="shared" si="29"/>
        <v>0</v>
      </c>
      <c r="M30" s="81">
        <f t="shared" si="30"/>
        <v>0</v>
      </c>
      <c r="N30" s="81">
        <f t="shared" si="31"/>
        <v>0</v>
      </c>
      <c r="O30" s="81"/>
      <c r="P30" s="81"/>
      <c r="Q30" s="81"/>
      <c r="R30" s="81">
        <v>11960</v>
      </c>
      <c r="S30" s="81">
        <v>11960</v>
      </c>
      <c r="T30" s="81"/>
      <c r="U30" s="81">
        <v>900</v>
      </c>
      <c r="V30" s="81">
        <f>900+4348+3000</f>
        <v>8248</v>
      </c>
      <c r="W30" s="81"/>
      <c r="X30" s="37">
        <f t="shared" si="32"/>
        <v>12860</v>
      </c>
      <c r="Y30" s="37">
        <f t="shared" si="33"/>
        <v>20208</v>
      </c>
      <c r="Z30" s="37">
        <f t="shared" si="34"/>
        <v>0</v>
      </c>
      <c r="AA30" s="35"/>
      <c r="AB30" s="35"/>
      <c r="AC30" s="35"/>
      <c r="AD30" s="35">
        <v>0</v>
      </c>
      <c r="AE30" s="35">
        <v>0</v>
      </c>
      <c r="AF30" s="35">
        <v>0</v>
      </c>
      <c r="AG30" s="36">
        <f>5000-1500</f>
        <v>3500</v>
      </c>
      <c r="AH30" s="36">
        <v>3500</v>
      </c>
      <c r="AI30" s="35">
        <v>0</v>
      </c>
      <c r="AJ30" s="36">
        <v>5000</v>
      </c>
      <c r="AK30" s="36">
        <v>5000</v>
      </c>
      <c r="AL30" s="35">
        <v>0</v>
      </c>
      <c r="AM30" s="35">
        <v>0</v>
      </c>
      <c r="AN30" s="35">
        <v>0</v>
      </c>
      <c r="AO30" s="35">
        <v>0</v>
      </c>
      <c r="AP30" s="37">
        <f t="shared" si="35"/>
        <v>8500</v>
      </c>
      <c r="AQ30" s="37">
        <f t="shared" si="36"/>
        <v>8500</v>
      </c>
      <c r="AR30" s="87">
        <f t="shared" si="37"/>
        <v>0</v>
      </c>
      <c r="AS30" s="81"/>
      <c r="AT30" s="81"/>
      <c r="AU30" s="81"/>
      <c r="AV30" s="81">
        <v>0</v>
      </c>
      <c r="AW30" s="81">
        <v>0</v>
      </c>
      <c r="AX30" s="81"/>
      <c r="AY30" s="81">
        <v>0</v>
      </c>
      <c r="AZ30" s="81">
        <f t="shared" si="38"/>
        <v>0</v>
      </c>
      <c r="BA30" s="35">
        <f t="shared" si="39"/>
        <v>0</v>
      </c>
      <c r="BB30" s="35">
        <f t="shared" si="40"/>
        <v>0</v>
      </c>
      <c r="BC30" s="37">
        <f t="shared" si="41"/>
        <v>21360</v>
      </c>
      <c r="BD30" s="37">
        <f t="shared" si="42"/>
        <v>28708</v>
      </c>
      <c r="BE30" s="37">
        <f t="shared" si="43"/>
        <v>0</v>
      </c>
      <c r="BF30" s="34" t="s">
        <v>106</v>
      </c>
      <c r="BH30" s="2"/>
      <c r="BI30" s="2"/>
      <c r="BL30" s="2"/>
      <c r="BM30" s="2"/>
    </row>
    <row r="31" spans="1:65">
      <c r="A31" s="33" t="s">
        <v>107</v>
      </c>
      <c r="B31" s="34" t="s">
        <v>108</v>
      </c>
      <c r="C31" s="35">
        <v>0</v>
      </c>
      <c r="D31" s="81">
        <v>0</v>
      </c>
      <c r="E31" s="81">
        <v>0</v>
      </c>
      <c r="F31" s="81">
        <f t="shared" si="25"/>
        <v>0</v>
      </c>
      <c r="G31" s="81">
        <f t="shared" si="26"/>
        <v>0</v>
      </c>
      <c r="H31" s="81">
        <f t="shared" si="27"/>
        <v>0</v>
      </c>
      <c r="I31" s="81">
        <f t="shared" si="44"/>
        <v>0</v>
      </c>
      <c r="J31" s="81">
        <f t="shared" si="45"/>
        <v>0</v>
      </c>
      <c r="K31" s="81">
        <f t="shared" si="28"/>
        <v>0</v>
      </c>
      <c r="L31" s="81">
        <f t="shared" si="29"/>
        <v>0</v>
      </c>
      <c r="M31" s="81">
        <f t="shared" si="30"/>
        <v>0</v>
      </c>
      <c r="N31" s="81">
        <f t="shared" si="31"/>
        <v>0</v>
      </c>
      <c r="O31" s="81"/>
      <c r="P31" s="81"/>
      <c r="Q31" s="81"/>
      <c r="R31" s="81"/>
      <c r="S31" s="81"/>
      <c r="T31" s="81"/>
      <c r="U31" s="81">
        <v>1900</v>
      </c>
      <c r="V31" s="81">
        <f>1900+200-33</f>
        <v>2067</v>
      </c>
      <c r="W31" s="81"/>
      <c r="X31" s="37">
        <f t="shared" si="32"/>
        <v>1900</v>
      </c>
      <c r="Y31" s="37">
        <f t="shared" si="33"/>
        <v>2067</v>
      </c>
      <c r="Z31" s="37">
        <f t="shared" si="34"/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6">
        <v>2000</v>
      </c>
      <c r="AH31" s="36">
        <v>2000</v>
      </c>
      <c r="AI31" s="35">
        <v>0</v>
      </c>
      <c r="AJ31" s="36">
        <v>2000</v>
      </c>
      <c r="AK31" s="36">
        <v>2000</v>
      </c>
      <c r="AL31" s="35">
        <v>0</v>
      </c>
      <c r="AM31" s="35">
        <v>0</v>
      </c>
      <c r="AN31" s="35">
        <v>0</v>
      </c>
      <c r="AO31" s="35">
        <v>0</v>
      </c>
      <c r="AP31" s="37">
        <f t="shared" si="35"/>
        <v>4000</v>
      </c>
      <c r="AQ31" s="37">
        <f t="shared" si="36"/>
        <v>4000</v>
      </c>
      <c r="AR31" s="87">
        <f t="shared" si="37"/>
        <v>0</v>
      </c>
      <c r="AS31" s="81"/>
      <c r="AT31" s="81"/>
      <c r="AU31" s="81"/>
      <c r="AV31" s="81">
        <v>0</v>
      </c>
      <c r="AW31" s="81">
        <v>0</v>
      </c>
      <c r="AX31" s="81"/>
      <c r="AY31" s="81">
        <v>0</v>
      </c>
      <c r="AZ31" s="81">
        <f t="shared" si="38"/>
        <v>0</v>
      </c>
      <c r="BA31" s="35">
        <f t="shared" si="39"/>
        <v>0</v>
      </c>
      <c r="BB31" s="35">
        <f t="shared" si="40"/>
        <v>0</v>
      </c>
      <c r="BC31" s="37">
        <f t="shared" si="41"/>
        <v>5900</v>
      </c>
      <c r="BD31" s="37">
        <f t="shared" si="42"/>
        <v>6067</v>
      </c>
      <c r="BE31" s="37">
        <f t="shared" si="43"/>
        <v>0</v>
      </c>
      <c r="BF31" s="34" t="s">
        <v>108</v>
      </c>
      <c r="BH31" s="2"/>
      <c r="BI31" s="2"/>
      <c r="BL31" s="2"/>
      <c r="BM31" s="2"/>
    </row>
    <row r="32" spans="1:65">
      <c r="A32" s="33" t="s">
        <v>109</v>
      </c>
      <c r="B32" s="34" t="s">
        <v>110</v>
      </c>
      <c r="C32" s="35">
        <v>0</v>
      </c>
      <c r="D32" s="81">
        <v>0</v>
      </c>
      <c r="E32" s="81">
        <v>0</v>
      </c>
      <c r="F32" s="81">
        <f t="shared" si="25"/>
        <v>0</v>
      </c>
      <c r="G32" s="81">
        <f t="shared" si="26"/>
        <v>0</v>
      </c>
      <c r="H32" s="81">
        <f t="shared" si="27"/>
        <v>0</v>
      </c>
      <c r="I32" s="81">
        <f t="shared" si="44"/>
        <v>0</v>
      </c>
      <c r="J32" s="81">
        <f t="shared" si="45"/>
        <v>0</v>
      </c>
      <c r="K32" s="81">
        <f t="shared" si="28"/>
        <v>0</v>
      </c>
      <c r="L32" s="81">
        <f t="shared" si="29"/>
        <v>0</v>
      </c>
      <c r="M32" s="81">
        <f t="shared" si="30"/>
        <v>0</v>
      </c>
      <c r="N32" s="81">
        <f t="shared" si="31"/>
        <v>0</v>
      </c>
      <c r="O32" s="81"/>
      <c r="P32" s="81"/>
      <c r="Q32" s="81"/>
      <c r="R32" s="81"/>
      <c r="S32" s="81"/>
      <c r="T32" s="81"/>
      <c r="U32" s="81"/>
      <c r="V32" s="81"/>
      <c r="W32" s="81"/>
      <c r="X32" s="37">
        <f t="shared" si="32"/>
        <v>0</v>
      </c>
      <c r="Y32" s="37">
        <f t="shared" si="33"/>
        <v>0</v>
      </c>
      <c r="Z32" s="37">
        <f t="shared" si="34"/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6">
        <v>0</v>
      </c>
      <c r="AK32" s="36">
        <v>0</v>
      </c>
      <c r="AL32" s="35">
        <v>0</v>
      </c>
      <c r="AM32" s="35">
        <v>0</v>
      </c>
      <c r="AN32" s="35">
        <v>0</v>
      </c>
      <c r="AO32" s="35">
        <v>0</v>
      </c>
      <c r="AP32" s="37">
        <f t="shared" si="35"/>
        <v>0</v>
      </c>
      <c r="AQ32" s="37">
        <f t="shared" si="36"/>
        <v>0</v>
      </c>
      <c r="AR32" s="87">
        <f t="shared" si="37"/>
        <v>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1"/>
      <c r="AY32" s="81">
        <v>0</v>
      </c>
      <c r="AZ32" s="81">
        <f t="shared" si="38"/>
        <v>0</v>
      </c>
      <c r="BA32" s="35">
        <f t="shared" si="39"/>
        <v>0</v>
      </c>
      <c r="BB32" s="35">
        <f t="shared" si="40"/>
        <v>0</v>
      </c>
      <c r="BC32" s="37">
        <f t="shared" si="41"/>
        <v>0</v>
      </c>
      <c r="BD32" s="37">
        <f t="shared" si="42"/>
        <v>0</v>
      </c>
      <c r="BE32" s="37">
        <f t="shared" si="43"/>
        <v>0</v>
      </c>
      <c r="BF32" s="34" t="s">
        <v>110</v>
      </c>
      <c r="BH32" s="2"/>
      <c r="BI32" s="2"/>
      <c r="BL32" s="2"/>
      <c r="BM32" s="2"/>
    </row>
    <row r="33" spans="1:65" s="54" customFormat="1">
      <c r="A33" s="52" t="s">
        <v>111</v>
      </c>
      <c r="B33" s="53" t="s">
        <v>112</v>
      </c>
      <c r="C33" s="35">
        <v>0</v>
      </c>
      <c r="D33" s="81">
        <v>0</v>
      </c>
      <c r="E33" s="81">
        <v>0</v>
      </c>
      <c r="F33" s="81">
        <f t="shared" si="25"/>
        <v>0</v>
      </c>
      <c r="G33" s="81">
        <f t="shared" si="26"/>
        <v>0</v>
      </c>
      <c r="H33" s="81">
        <f t="shared" si="27"/>
        <v>0</v>
      </c>
      <c r="I33" s="81">
        <f t="shared" si="44"/>
        <v>0</v>
      </c>
      <c r="J33" s="81">
        <f t="shared" si="45"/>
        <v>0</v>
      </c>
      <c r="K33" s="81">
        <f t="shared" si="28"/>
        <v>0</v>
      </c>
      <c r="L33" s="81">
        <f t="shared" si="29"/>
        <v>0</v>
      </c>
      <c r="M33" s="81">
        <f t="shared" si="30"/>
        <v>0</v>
      </c>
      <c r="N33" s="81">
        <f t="shared" si="31"/>
        <v>0</v>
      </c>
      <c r="O33" s="81"/>
      <c r="P33" s="81">
        <f>903+36</f>
        <v>939</v>
      </c>
      <c r="Q33" s="81"/>
      <c r="R33" s="81"/>
      <c r="S33" s="81"/>
      <c r="T33" s="81"/>
      <c r="U33" s="81">
        <v>400</v>
      </c>
      <c r="V33" s="81">
        <f>400-190</f>
        <v>210</v>
      </c>
      <c r="W33" s="81"/>
      <c r="X33" s="37">
        <f t="shared" si="32"/>
        <v>400</v>
      </c>
      <c r="Y33" s="37">
        <f t="shared" si="33"/>
        <v>1149</v>
      </c>
      <c r="Z33" s="37">
        <f t="shared" si="34"/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6">
        <f>4000-3000</f>
        <v>1000</v>
      </c>
      <c r="AK33" s="36">
        <v>1000</v>
      </c>
      <c r="AL33" s="35">
        <v>0</v>
      </c>
      <c r="AM33" s="35">
        <v>0</v>
      </c>
      <c r="AN33" s="35">
        <v>0</v>
      </c>
      <c r="AO33" s="35">
        <v>0</v>
      </c>
      <c r="AP33" s="37">
        <f t="shared" si="35"/>
        <v>1000</v>
      </c>
      <c r="AQ33" s="37">
        <f t="shared" si="36"/>
        <v>1000</v>
      </c>
      <c r="AR33" s="37">
        <f t="shared" si="37"/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/>
      <c r="AY33" s="35">
        <v>0</v>
      </c>
      <c r="AZ33" s="35">
        <f t="shared" si="38"/>
        <v>0</v>
      </c>
      <c r="BA33" s="35">
        <f t="shared" si="39"/>
        <v>0</v>
      </c>
      <c r="BB33" s="35">
        <f t="shared" si="40"/>
        <v>0</v>
      </c>
      <c r="BC33" s="37">
        <f t="shared" si="41"/>
        <v>1400</v>
      </c>
      <c r="BD33" s="37">
        <f t="shared" si="42"/>
        <v>2149</v>
      </c>
      <c r="BE33" s="37">
        <f t="shared" si="43"/>
        <v>0</v>
      </c>
      <c r="BF33" s="53" t="s">
        <v>112</v>
      </c>
    </row>
    <row r="34" spans="1:65">
      <c r="A34" s="33" t="s">
        <v>113</v>
      </c>
      <c r="B34" s="55" t="s">
        <v>114</v>
      </c>
      <c r="C34" s="35">
        <v>0</v>
      </c>
      <c r="D34" s="81">
        <v>0</v>
      </c>
      <c r="E34" s="81">
        <v>0</v>
      </c>
      <c r="F34" s="81">
        <f t="shared" si="25"/>
        <v>0</v>
      </c>
      <c r="G34" s="81">
        <f t="shared" si="26"/>
        <v>0</v>
      </c>
      <c r="H34" s="81">
        <f t="shared" si="27"/>
        <v>0</v>
      </c>
      <c r="I34" s="81">
        <f t="shared" si="44"/>
        <v>0</v>
      </c>
      <c r="J34" s="81">
        <f t="shared" si="45"/>
        <v>0</v>
      </c>
      <c r="K34" s="81">
        <f t="shared" si="28"/>
        <v>0</v>
      </c>
      <c r="L34" s="81">
        <f t="shared" si="29"/>
        <v>0</v>
      </c>
      <c r="M34" s="81">
        <f t="shared" si="30"/>
        <v>0</v>
      </c>
      <c r="N34" s="81">
        <f t="shared" si="31"/>
        <v>0</v>
      </c>
      <c r="O34" s="81"/>
      <c r="P34" s="81"/>
      <c r="Q34" s="81"/>
      <c r="R34" s="81"/>
      <c r="S34" s="81"/>
      <c r="T34" s="81"/>
      <c r="U34" s="81"/>
      <c r="V34" s="81"/>
      <c r="W34" s="81"/>
      <c r="X34" s="37">
        <f t="shared" si="32"/>
        <v>0</v>
      </c>
      <c r="Y34" s="37">
        <f t="shared" si="33"/>
        <v>0</v>
      </c>
      <c r="Z34" s="37">
        <f t="shared" si="34"/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6">
        <v>0</v>
      </c>
      <c r="AK34" s="36">
        <v>0</v>
      </c>
      <c r="AL34" s="35">
        <v>0</v>
      </c>
      <c r="AM34" s="35">
        <v>0</v>
      </c>
      <c r="AN34" s="35">
        <v>0</v>
      </c>
      <c r="AO34" s="35">
        <v>0</v>
      </c>
      <c r="AP34" s="37">
        <f t="shared" si="35"/>
        <v>0</v>
      </c>
      <c r="AQ34" s="37">
        <f t="shared" si="36"/>
        <v>0</v>
      </c>
      <c r="AR34" s="37">
        <f t="shared" si="37"/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/>
      <c r="AY34" s="35">
        <v>0</v>
      </c>
      <c r="AZ34" s="35">
        <f t="shared" si="38"/>
        <v>0</v>
      </c>
      <c r="BA34" s="35">
        <f t="shared" si="39"/>
        <v>0</v>
      </c>
      <c r="BB34" s="35">
        <f t="shared" si="40"/>
        <v>0</v>
      </c>
      <c r="BC34" s="37">
        <f t="shared" si="41"/>
        <v>0</v>
      </c>
      <c r="BD34" s="37">
        <f t="shared" si="42"/>
        <v>0</v>
      </c>
      <c r="BE34" s="37">
        <f t="shared" si="43"/>
        <v>0</v>
      </c>
      <c r="BF34" s="55" t="s">
        <v>114</v>
      </c>
      <c r="BH34" s="2"/>
      <c r="BI34" s="2"/>
      <c r="BL34" s="2"/>
      <c r="BM34" s="2"/>
    </row>
    <row r="35" spans="1:65">
      <c r="A35" s="33" t="s">
        <v>115</v>
      </c>
      <c r="B35" s="55" t="s">
        <v>116</v>
      </c>
      <c r="C35" s="35">
        <v>0</v>
      </c>
      <c r="D35" s="81">
        <v>0</v>
      </c>
      <c r="E35" s="81">
        <v>0</v>
      </c>
      <c r="F35" s="81">
        <f t="shared" si="25"/>
        <v>0</v>
      </c>
      <c r="G35" s="81">
        <f t="shared" si="26"/>
        <v>0</v>
      </c>
      <c r="H35" s="81">
        <f t="shared" si="27"/>
        <v>0</v>
      </c>
      <c r="I35" s="81">
        <f t="shared" si="44"/>
        <v>0</v>
      </c>
      <c r="J35" s="81">
        <f t="shared" si="45"/>
        <v>0</v>
      </c>
      <c r="K35" s="81">
        <f t="shared" si="28"/>
        <v>0</v>
      </c>
      <c r="L35" s="81">
        <f t="shared" si="29"/>
        <v>0</v>
      </c>
      <c r="M35" s="81">
        <f t="shared" si="30"/>
        <v>0</v>
      </c>
      <c r="N35" s="81">
        <f t="shared" si="31"/>
        <v>0</v>
      </c>
      <c r="O35" s="81"/>
      <c r="P35" s="81"/>
      <c r="Q35" s="81"/>
      <c r="R35" s="81"/>
      <c r="S35" s="81"/>
      <c r="T35" s="81"/>
      <c r="U35" s="81"/>
      <c r="V35" s="81"/>
      <c r="W35" s="81"/>
      <c r="X35" s="37">
        <f t="shared" si="32"/>
        <v>0</v>
      </c>
      <c r="Y35" s="37">
        <f t="shared" si="33"/>
        <v>0</v>
      </c>
      <c r="Z35" s="37">
        <f t="shared" si="34"/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6">
        <v>0</v>
      </c>
      <c r="AK35" s="36">
        <v>0</v>
      </c>
      <c r="AL35" s="35">
        <v>0</v>
      </c>
      <c r="AM35" s="35">
        <v>0</v>
      </c>
      <c r="AN35" s="35">
        <v>0</v>
      </c>
      <c r="AO35" s="35">
        <v>0</v>
      </c>
      <c r="AP35" s="37">
        <f t="shared" si="35"/>
        <v>0</v>
      </c>
      <c r="AQ35" s="37">
        <f t="shared" si="36"/>
        <v>0</v>
      </c>
      <c r="AR35" s="37">
        <f t="shared" si="37"/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/>
      <c r="AY35" s="35">
        <v>0</v>
      </c>
      <c r="AZ35" s="35">
        <f t="shared" si="38"/>
        <v>0</v>
      </c>
      <c r="BA35" s="35">
        <f t="shared" si="39"/>
        <v>0</v>
      </c>
      <c r="BB35" s="35">
        <f t="shared" si="40"/>
        <v>0</v>
      </c>
      <c r="BC35" s="37">
        <f t="shared" si="41"/>
        <v>0</v>
      </c>
      <c r="BD35" s="37">
        <f t="shared" si="42"/>
        <v>0</v>
      </c>
      <c r="BE35" s="37">
        <f t="shared" si="43"/>
        <v>0</v>
      </c>
      <c r="BF35" s="55" t="s">
        <v>116</v>
      </c>
      <c r="BH35" s="2"/>
      <c r="BI35" s="2"/>
      <c r="BL35" s="2"/>
      <c r="BM35" s="2"/>
    </row>
    <row r="36" spans="1:65" s="54" customFormat="1">
      <c r="A36" s="33" t="s">
        <v>117</v>
      </c>
      <c r="B36" s="53" t="s">
        <v>118</v>
      </c>
      <c r="C36" s="35">
        <v>0</v>
      </c>
      <c r="D36" s="81">
        <v>0</v>
      </c>
      <c r="E36" s="81">
        <v>0</v>
      </c>
      <c r="F36" s="81">
        <f t="shared" si="25"/>
        <v>0</v>
      </c>
      <c r="G36" s="81">
        <f t="shared" si="26"/>
        <v>0</v>
      </c>
      <c r="H36" s="81">
        <f t="shared" si="27"/>
        <v>0</v>
      </c>
      <c r="I36" s="81">
        <f t="shared" si="44"/>
        <v>0</v>
      </c>
      <c r="J36" s="81">
        <f t="shared" si="45"/>
        <v>0</v>
      </c>
      <c r="K36" s="81">
        <f t="shared" si="28"/>
        <v>0</v>
      </c>
      <c r="L36" s="81">
        <f t="shared" si="29"/>
        <v>0</v>
      </c>
      <c r="M36" s="81">
        <f t="shared" si="30"/>
        <v>0</v>
      </c>
      <c r="N36" s="81">
        <f t="shared" si="31"/>
        <v>0</v>
      </c>
      <c r="O36" s="81"/>
      <c r="P36" s="81"/>
      <c r="Q36" s="81"/>
      <c r="R36" s="81"/>
      <c r="S36" s="81"/>
      <c r="T36" s="81"/>
      <c r="U36" s="81"/>
      <c r="V36" s="81"/>
      <c r="W36" s="81"/>
      <c r="X36" s="37">
        <f t="shared" si="32"/>
        <v>0</v>
      </c>
      <c r="Y36" s="37">
        <f t="shared" si="33"/>
        <v>0</v>
      </c>
      <c r="Z36" s="37">
        <f t="shared" si="34"/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6">
        <v>2000</v>
      </c>
      <c r="AK36" s="36">
        <v>2000</v>
      </c>
      <c r="AL36" s="35">
        <v>0</v>
      </c>
      <c r="AM36" s="35">
        <v>0</v>
      </c>
      <c r="AN36" s="35">
        <v>0</v>
      </c>
      <c r="AO36" s="35">
        <v>0</v>
      </c>
      <c r="AP36" s="37">
        <f t="shared" si="35"/>
        <v>2000</v>
      </c>
      <c r="AQ36" s="37">
        <f t="shared" si="36"/>
        <v>2000</v>
      </c>
      <c r="AR36" s="37">
        <f t="shared" si="37"/>
        <v>0</v>
      </c>
      <c r="AS36" s="35"/>
      <c r="AT36" s="35"/>
      <c r="AU36" s="35"/>
      <c r="AV36" s="35">
        <v>0</v>
      </c>
      <c r="AW36" s="35">
        <v>0</v>
      </c>
      <c r="AX36" s="35"/>
      <c r="AY36" s="35">
        <v>0</v>
      </c>
      <c r="AZ36" s="35">
        <f t="shared" si="38"/>
        <v>0</v>
      </c>
      <c r="BA36" s="35">
        <f t="shared" si="39"/>
        <v>0</v>
      </c>
      <c r="BB36" s="35">
        <f t="shared" si="40"/>
        <v>0</v>
      </c>
      <c r="BC36" s="37">
        <f t="shared" si="41"/>
        <v>2000</v>
      </c>
      <c r="BD36" s="37">
        <f t="shared" si="42"/>
        <v>2000</v>
      </c>
      <c r="BE36" s="37">
        <f t="shared" si="43"/>
        <v>0</v>
      </c>
      <c r="BF36" s="53" t="s">
        <v>118</v>
      </c>
    </row>
    <row r="37" spans="1:65" s="32" customFormat="1">
      <c r="A37" s="39" t="s">
        <v>119</v>
      </c>
      <c r="B37" s="25" t="s">
        <v>120</v>
      </c>
      <c r="C37" s="28">
        <f>SUM(C38:C39)</f>
        <v>0</v>
      </c>
      <c r="D37" s="28">
        <f>SUM(D38:D39)</f>
        <v>0</v>
      </c>
      <c r="E37" s="28">
        <f>SUM(E38:E39)</f>
        <v>0</v>
      </c>
      <c r="F37" s="28">
        <f t="shared" ref="F37:AM37" si="46">SUM(F38:F39)</f>
        <v>0</v>
      </c>
      <c r="G37" s="28">
        <f t="shared" si="46"/>
        <v>0</v>
      </c>
      <c r="H37" s="28">
        <f t="shared" si="46"/>
        <v>0</v>
      </c>
      <c r="I37" s="28">
        <f>SUM(I38:I39)</f>
        <v>0</v>
      </c>
      <c r="J37" s="28">
        <f>SUM(J38:J39)</f>
        <v>0</v>
      </c>
      <c r="K37" s="28">
        <f>SUM(K38:K39)</f>
        <v>0</v>
      </c>
      <c r="L37" s="26">
        <f t="shared" si="46"/>
        <v>0</v>
      </c>
      <c r="M37" s="26">
        <f t="shared" si="46"/>
        <v>0</v>
      </c>
      <c r="N37" s="26">
        <f t="shared" si="46"/>
        <v>0</v>
      </c>
      <c r="O37" s="28">
        <f>SUM(O38:O39)</f>
        <v>0</v>
      </c>
      <c r="P37" s="31">
        <f>SUM(P38:P39)</f>
        <v>206</v>
      </c>
      <c r="Q37" s="28">
        <f t="shared" si="46"/>
        <v>0</v>
      </c>
      <c r="R37" s="28">
        <f t="shared" si="46"/>
        <v>0</v>
      </c>
      <c r="S37" s="28">
        <f t="shared" si="46"/>
        <v>0</v>
      </c>
      <c r="T37" s="28">
        <f t="shared" si="46"/>
        <v>0</v>
      </c>
      <c r="U37" s="28">
        <f t="shared" si="46"/>
        <v>0</v>
      </c>
      <c r="V37" s="28">
        <f t="shared" si="46"/>
        <v>0</v>
      </c>
      <c r="W37" s="28">
        <f t="shared" si="46"/>
        <v>0</v>
      </c>
      <c r="X37" s="28">
        <f t="shared" si="46"/>
        <v>0</v>
      </c>
      <c r="Y37" s="28">
        <f t="shared" si="46"/>
        <v>206</v>
      </c>
      <c r="Z37" s="28">
        <f t="shared" si="46"/>
        <v>0</v>
      </c>
      <c r="AA37" s="28">
        <f>SUM(AA38:AA39)</f>
        <v>0</v>
      </c>
      <c r="AB37" s="28">
        <f>SUM(AB38:AB39)</f>
        <v>0</v>
      </c>
      <c r="AC37" s="28">
        <f t="shared" si="46"/>
        <v>0</v>
      </c>
      <c r="AD37" s="28">
        <f>SUM(AD38:AD39)</f>
        <v>0</v>
      </c>
      <c r="AE37" s="28">
        <f>SUM(AE38:AE39)</f>
        <v>0</v>
      </c>
      <c r="AF37" s="28">
        <f t="shared" si="46"/>
        <v>0</v>
      </c>
      <c r="AG37" s="28">
        <f>SUM(AG38:AG39)</f>
        <v>0</v>
      </c>
      <c r="AH37" s="28">
        <f>SUM(AH38:AH39)</f>
        <v>0</v>
      </c>
      <c r="AI37" s="28">
        <f t="shared" si="46"/>
        <v>0</v>
      </c>
      <c r="AJ37" s="28">
        <f>SUM(AJ38:AJ39)</f>
        <v>0</v>
      </c>
      <c r="AK37" s="28">
        <f>SUM(AK38:AK39)</f>
        <v>0</v>
      </c>
      <c r="AL37" s="28">
        <f>SUM(AL38:AL39)</f>
        <v>0</v>
      </c>
      <c r="AM37" s="28">
        <f t="shared" si="46"/>
        <v>0</v>
      </c>
      <c r="AN37" s="28">
        <f>SUM(AN38:AN39)</f>
        <v>0</v>
      </c>
      <c r="AO37" s="28">
        <f t="shared" ref="AO37:BE37" si="47">SUM(AO38:AO39)</f>
        <v>0</v>
      </c>
      <c r="AP37" s="28">
        <f t="shared" si="47"/>
        <v>0</v>
      </c>
      <c r="AQ37" s="28">
        <f t="shared" si="47"/>
        <v>0</v>
      </c>
      <c r="AR37" s="28">
        <f t="shared" si="47"/>
        <v>0</v>
      </c>
      <c r="AS37" s="28">
        <f>SUM(AS38:AS39)</f>
        <v>0</v>
      </c>
      <c r="AT37" s="28">
        <f>SUM(AT38:AT39)</f>
        <v>0</v>
      </c>
      <c r="AU37" s="28">
        <f t="shared" si="47"/>
        <v>0</v>
      </c>
      <c r="AV37" s="28">
        <f>SUM(AV38:AV39)</f>
        <v>0</v>
      </c>
      <c r="AW37" s="28">
        <f>SUM(AW38:AW39)</f>
        <v>0</v>
      </c>
      <c r="AX37" s="28">
        <f>SUM(AX38:AX39)</f>
        <v>0</v>
      </c>
      <c r="AY37" s="28">
        <f>SUM(AY38:AY39)</f>
        <v>0</v>
      </c>
      <c r="AZ37" s="28">
        <f t="shared" si="47"/>
        <v>0</v>
      </c>
      <c r="BA37" s="28">
        <f>SUM(BA38:BA39)</f>
        <v>0</v>
      </c>
      <c r="BB37" s="28">
        <f t="shared" si="47"/>
        <v>0</v>
      </c>
      <c r="BC37" s="28">
        <f t="shared" si="47"/>
        <v>0</v>
      </c>
      <c r="BD37" s="28">
        <f t="shared" si="47"/>
        <v>206</v>
      </c>
      <c r="BE37" s="28">
        <f t="shared" si="47"/>
        <v>0</v>
      </c>
      <c r="BF37" s="25" t="s">
        <v>120</v>
      </c>
    </row>
    <row r="38" spans="1:65">
      <c r="A38" s="33" t="s">
        <v>121</v>
      </c>
      <c r="B38" s="34" t="s">
        <v>122</v>
      </c>
      <c r="C38" s="35">
        <v>0</v>
      </c>
      <c r="D38" s="35">
        <v>0</v>
      </c>
      <c r="E38" s="35">
        <v>0</v>
      </c>
      <c r="F38" s="35">
        <f t="shared" ref="F38:N40" si="48">SUM(C38)</f>
        <v>0</v>
      </c>
      <c r="G38" s="35">
        <f t="shared" si="48"/>
        <v>0</v>
      </c>
      <c r="H38" s="35">
        <f t="shared" si="48"/>
        <v>0</v>
      </c>
      <c r="I38" s="35">
        <f t="shared" si="48"/>
        <v>0</v>
      </c>
      <c r="J38" s="35">
        <f t="shared" si="48"/>
        <v>0</v>
      </c>
      <c r="K38" s="35">
        <f t="shared" si="48"/>
        <v>0</v>
      </c>
      <c r="L38" s="35">
        <f t="shared" si="48"/>
        <v>0</v>
      </c>
      <c r="M38" s="35">
        <f t="shared" si="48"/>
        <v>0</v>
      </c>
      <c r="N38" s="35">
        <f t="shared" si="48"/>
        <v>0</v>
      </c>
      <c r="O38" s="35"/>
      <c r="P38" s="36"/>
      <c r="Q38" s="35"/>
      <c r="R38" s="35"/>
      <c r="S38" s="35"/>
      <c r="T38" s="35"/>
      <c r="U38" s="35"/>
      <c r="V38" s="35"/>
      <c r="W38" s="35"/>
      <c r="X38" s="37">
        <f t="shared" ref="X38:Z40" si="49">SUM(O38,R38,U38)</f>
        <v>0</v>
      </c>
      <c r="Y38" s="37">
        <f t="shared" si="49"/>
        <v>0</v>
      </c>
      <c r="Z38" s="37">
        <f t="shared" si="49"/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7">
        <f t="shared" ref="AP38:AR40" si="50">SUM(AA38,AD38,AG38,AM38,AJ38,)</f>
        <v>0</v>
      </c>
      <c r="AQ38" s="37">
        <f t="shared" si="50"/>
        <v>0</v>
      </c>
      <c r="AR38" s="37">
        <f t="shared" si="50"/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/>
      <c r="AY38" s="35">
        <v>0</v>
      </c>
      <c r="AZ38" s="35">
        <f t="shared" ref="AZ38:AZ48" si="51">SUM(AS38,AV38)</f>
        <v>0</v>
      </c>
      <c r="BA38" s="35">
        <f t="shared" ref="BA38:BA48" si="52">SUM(AT38,AW38)</f>
        <v>0</v>
      </c>
      <c r="BB38" s="35">
        <f t="shared" ref="BB38:BB48" si="53">SUM(AU38,AY38)</f>
        <v>0</v>
      </c>
      <c r="BC38" s="37">
        <f t="shared" ref="BC38:BE39" si="54">SUM(F38,X38,AP38,AZ38,L38)</f>
        <v>0</v>
      </c>
      <c r="BD38" s="37">
        <f t="shared" si="54"/>
        <v>0</v>
      </c>
      <c r="BE38" s="37">
        <f t="shared" si="54"/>
        <v>0</v>
      </c>
      <c r="BF38" s="34" t="s">
        <v>122</v>
      </c>
      <c r="BH38" s="2"/>
      <c r="BI38" s="2"/>
      <c r="BL38" s="2"/>
      <c r="BM38" s="2"/>
    </row>
    <row r="39" spans="1:65">
      <c r="A39" s="33" t="s">
        <v>123</v>
      </c>
      <c r="B39" s="34" t="s">
        <v>124</v>
      </c>
      <c r="C39" s="35">
        <v>0</v>
      </c>
      <c r="D39" s="35">
        <v>0</v>
      </c>
      <c r="E39" s="35">
        <v>0</v>
      </c>
      <c r="F39" s="35">
        <f t="shared" si="48"/>
        <v>0</v>
      </c>
      <c r="G39" s="35">
        <f t="shared" si="48"/>
        <v>0</v>
      </c>
      <c r="H39" s="35">
        <f t="shared" si="48"/>
        <v>0</v>
      </c>
      <c r="I39" s="35">
        <f t="shared" si="48"/>
        <v>0</v>
      </c>
      <c r="J39" s="35">
        <f t="shared" si="48"/>
        <v>0</v>
      </c>
      <c r="K39" s="35">
        <f t="shared" si="48"/>
        <v>0</v>
      </c>
      <c r="L39" s="35">
        <f t="shared" si="48"/>
        <v>0</v>
      </c>
      <c r="M39" s="35">
        <f t="shared" si="48"/>
        <v>0</v>
      </c>
      <c r="N39" s="35">
        <f t="shared" si="48"/>
        <v>0</v>
      </c>
      <c r="O39" s="35"/>
      <c r="P39" s="36">
        <f>113+93</f>
        <v>206</v>
      </c>
      <c r="Q39" s="35"/>
      <c r="R39" s="35"/>
      <c r="S39" s="35"/>
      <c r="T39" s="35"/>
      <c r="U39" s="35"/>
      <c r="V39" s="35"/>
      <c r="W39" s="35"/>
      <c r="X39" s="37">
        <f t="shared" si="49"/>
        <v>0</v>
      </c>
      <c r="Y39" s="37">
        <f t="shared" si="49"/>
        <v>206</v>
      </c>
      <c r="Z39" s="37">
        <f t="shared" si="49"/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7">
        <f t="shared" si="50"/>
        <v>0</v>
      </c>
      <c r="AQ39" s="37">
        <f t="shared" si="50"/>
        <v>0</v>
      </c>
      <c r="AR39" s="37">
        <f t="shared" si="50"/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/>
      <c r="AY39" s="35">
        <v>0</v>
      </c>
      <c r="AZ39" s="35">
        <f t="shared" si="51"/>
        <v>0</v>
      </c>
      <c r="BA39" s="35">
        <f t="shared" si="52"/>
        <v>0</v>
      </c>
      <c r="BB39" s="35">
        <f t="shared" si="53"/>
        <v>0</v>
      </c>
      <c r="BC39" s="37">
        <f t="shared" si="54"/>
        <v>0</v>
      </c>
      <c r="BD39" s="37">
        <f t="shared" si="54"/>
        <v>206</v>
      </c>
      <c r="BE39" s="37">
        <f t="shared" si="54"/>
        <v>0</v>
      </c>
      <c r="BF39" s="34" t="s">
        <v>124</v>
      </c>
      <c r="BH39" s="2"/>
      <c r="BI39" s="2"/>
      <c r="BL39" s="2"/>
      <c r="BM39" s="2"/>
    </row>
    <row r="40" spans="1:65" s="32" customFormat="1">
      <c r="A40" s="39" t="s">
        <v>125</v>
      </c>
      <c r="B40" s="25" t="s">
        <v>126</v>
      </c>
      <c r="C40" s="35">
        <v>0</v>
      </c>
      <c r="D40" s="35">
        <v>0</v>
      </c>
      <c r="E40" s="35">
        <v>0</v>
      </c>
      <c r="F40" s="35">
        <f t="shared" si="48"/>
        <v>0</v>
      </c>
      <c r="G40" s="35">
        <f t="shared" si="48"/>
        <v>0</v>
      </c>
      <c r="H40" s="35">
        <f t="shared" si="48"/>
        <v>0</v>
      </c>
      <c r="I40" s="35">
        <f t="shared" si="48"/>
        <v>0</v>
      </c>
      <c r="J40" s="35">
        <f t="shared" si="48"/>
        <v>0</v>
      </c>
      <c r="K40" s="35">
        <f t="shared" si="48"/>
        <v>0</v>
      </c>
      <c r="L40" s="35">
        <f t="shared" si="48"/>
        <v>0</v>
      </c>
      <c r="M40" s="35">
        <f t="shared" si="48"/>
        <v>0</v>
      </c>
      <c r="N40" s="35">
        <f t="shared" si="48"/>
        <v>0</v>
      </c>
      <c r="O40" s="35"/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7">
        <f t="shared" si="49"/>
        <v>0</v>
      </c>
      <c r="Y40" s="37">
        <f t="shared" si="49"/>
        <v>0</v>
      </c>
      <c r="Z40" s="37">
        <f t="shared" si="49"/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7">
        <f t="shared" si="50"/>
        <v>0</v>
      </c>
      <c r="AQ40" s="37">
        <f t="shared" si="50"/>
        <v>0</v>
      </c>
      <c r="AR40" s="37">
        <f t="shared" si="50"/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43"/>
      <c r="AY40" s="35">
        <v>0</v>
      </c>
      <c r="AZ40" s="35">
        <f t="shared" si="51"/>
        <v>0</v>
      </c>
      <c r="BA40" s="35">
        <f t="shared" si="52"/>
        <v>0</v>
      </c>
      <c r="BB40" s="35">
        <f t="shared" si="53"/>
        <v>0</v>
      </c>
      <c r="BC40" s="37">
        <f>SUM(F40,X40,AP40,AZ40)</f>
        <v>0</v>
      </c>
      <c r="BD40" s="37">
        <f>SUM(G40,Y40,AQ40,BA40)</f>
        <v>0</v>
      </c>
      <c r="BE40" s="37">
        <f>SUM(H40,Z40,AR40,BB40)</f>
        <v>0</v>
      </c>
      <c r="BF40" s="25" t="s">
        <v>126</v>
      </c>
    </row>
    <row r="41" spans="1:65" s="32" customFormat="1">
      <c r="A41" s="39" t="s">
        <v>127</v>
      </c>
      <c r="B41" s="25" t="s">
        <v>128</v>
      </c>
      <c r="C41" s="28">
        <f>SUM(C42:C42)</f>
        <v>0</v>
      </c>
      <c r="D41" s="28">
        <f>SUM(D42:D42)</f>
        <v>0</v>
      </c>
      <c r="E41" s="28">
        <f>SUM(E42:E42)</f>
        <v>0</v>
      </c>
      <c r="F41" s="28">
        <f>SUM(F42:F42)</f>
        <v>0</v>
      </c>
      <c r="G41" s="28">
        <f>SUM(G42:G42)</f>
        <v>0</v>
      </c>
      <c r="H41" s="28">
        <f t="shared" ref="H41:M41" si="55">SUM(H42:H42)</f>
        <v>0</v>
      </c>
      <c r="I41" s="28">
        <f t="shared" si="55"/>
        <v>0</v>
      </c>
      <c r="J41" s="28">
        <f t="shared" si="55"/>
        <v>0</v>
      </c>
      <c r="K41" s="28">
        <f t="shared" si="55"/>
        <v>0</v>
      </c>
      <c r="L41" s="26">
        <f t="shared" si="55"/>
        <v>0</v>
      </c>
      <c r="M41" s="26">
        <f t="shared" si="55"/>
        <v>0</v>
      </c>
      <c r="N41" s="26">
        <f t="shared" ref="N41:W41" si="56">SUM(N42:N42)</f>
        <v>0</v>
      </c>
      <c r="O41" s="28">
        <f t="shared" si="56"/>
        <v>0</v>
      </c>
      <c r="P41" s="28">
        <f t="shared" si="56"/>
        <v>0</v>
      </c>
      <c r="Q41" s="28">
        <f t="shared" si="56"/>
        <v>0</v>
      </c>
      <c r="R41" s="28">
        <f t="shared" si="56"/>
        <v>0</v>
      </c>
      <c r="S41" s="28">
        <f t="shared" si="56"/>
        <v>0</v>
      </c>
      <c r="T41" s="28">
        <f t="shared" si="56"/>
        <v>0</v>
      </c>
      <c r="U41" s="28">
        <f t="shared" si="56"/>
        <v>0</v>
      </c>
      <c r="V41" s="28">
        <f t="shared" si="56"/>
        <v>0</v>
      </c>
      <c r="W41" s="28">
        <f t="shared" si="56"/>
        <v>0</v>
      </c>
      <c r="X41" s="37">
        <f>SUM(R41,U41)</f>
        <v>0</v>
      </c>
      <c r="Y41" s="37">
        <f>SUM(S41,V41)</f>
        <v>0</v>
      </c>
      <c r="Z41" s="37">
        <f>SUM(T41,W41)</f>
        <v>0</v>
      </c>
      <c r="AA41" s="28">
        <f t="shared" ref="AA41:AO41" si="57">SUM(AA42:AA42)</f>
        <v>0</v>
      </c>
      <c r="AB41" s="28">
        <f t="shared" si="57"/>
        <v>0</v>
      </c>
      <c r="AC41" s="28">
        <f t="shared" si="57"/>
        <v>0</v>
      </c>
      <c r="AD41" s="28">
        <f t="shared" si="57"/>
        <v>0</v>
      </c>
      <c r="AE41" s="28">
        <f t="shared" si="57"/>
        <v>0</v>
      </c>
      <c r="AF41" s="28">
        <f t="shared" si="57"/>
        <v>0</v>
      </c>
      <c r="AG41" s="28">
        <f t="shared" si="57"/>
        <v>0</v>
      </c>
      <c r="AH41" s="28">
        <f t="shared" si="57"/>
        <v>0</v>
      </c>
      <c r="AI41" s="28">
        <f t="shared" si="57"/>
        <v>0</v>
      </c>
      <c r="AJ41" s="28">
        <f t="shared" si="57"/>
        <v>0</v>
      </c>
      <c r="AK41" s="28">
        <f t="shared" si="57"/>
        <v>0</v>
      </c>
      <c r="AL41" s="28">
        <f t="shared" si="57"/>
        <v>0</v>
      </c>
      <c r="AM41" s="28">
        <f t="shared" si="57"/>
        <v>0</v>
      </c>
      <c r="AN41" s="28">
        <f t="shared" si="57"/>
        <v>0</v>
      </c>
      <c r="AO41" s="28">
        <f t="shared" si="57"/>
        <v>0</v>
      </c>
      <c r="AP41" s="29">
        <f>SUM(AP42)</f>
        <v>0</v>
      </c>
      <c r="AQ41" s="29">
        <f>SUM(AQ42)</f>
        <v>0</v>
      </c>
      <c r="AR41" s="28">
        <f t="shared" ref="AR41:AW41" si="58">SUM(AR42:AR42)</f>
        <v>0</v>
      </c>
      <c r="AS41" s="28">
        <f t="shared" si="58"/>
        <v>0</v>
      </c>
      <c r="AT41" s="28">
        <f t="shared" si="58"/>
        <v>0</v>
      </c>
      <c r="AU41" s="28">
        <f t="shared" si="58"/>
        <v>0</v>
      </c>
      <c r="AV41" s="28">
        <f t="shared" si="58"/>
        <v>0</v>
      </c>
      <c r="AW41" s="28">
        <f t="shared" si="58"/>
        <v>0</v>
      </c>
      <c r="AX41" s="28"/>
      <c r="AY41" s="28">
        <f>SUM(AY42:AY42)</f>
        <v>0</v>
      </c>
      <c r="AZ41" s="35">
        <f t="shared" si="51"/>
        <v>0</v>
      </c>
      <c r="BA41" s="35">
        <f t="shared" si="52"/>
        <v>0</v>
      </c>
      <c r="BB41" s="35">
        <f t="shared" si="53"/>
        <v>0</v>
      </c>
      <c r="BC41" s="37">
        <f>SUM(BC42)</f>
        <v>0</v>
      </c>
      <c r="BD41" s="37">
        <f>SUM(BD42)</f>
        <v>0</v>
      </c>
      <c r="BE41" s="37">
        <f>SUM(BE42)</f>
        <v>0</v>
      </c>
      <c r="BF41" s="25" t="s">
        <v>128</v>
      </c>
    </row>
    <row r="42" spans="1:65">
      <c r="A42" s="33" t="s">
        <v>131</v>
      </c>
      <c r="B42" s="34" t="s">
        <v>132</v>
      </c>
      <c r="C42" s="35">
        <v>0</v>
      </c>
      <c r="D42" s="35">
        <v>0</v>
      </c>
      <c r="E42" s="35">
        <v>0</v>
      </c>
      <c r="F42" s="35">
        <f t="shared" ref="F42:N42" si="59">SUM(C42)</f>
        <v>0</v>
      </c>
      <c r="G42" s="35">
        <f t="shared" si="59"/>
        <v>0</v>
      </c>
      <c r="H42" s="35">
        <f t="shared" si="59"/>
        <v>0</v>
      </c>
      <c r="I42" s="35">
        <f t="shared" si="59"/>
        <v>0</v>
      </c>
      <c r="J42" s="35">
        <f t="shared" si="59"/>
        <v>0</v>
      </c>
      <c r="K42" s="35">
        <f t="shared" si="59"/>
        <v>0</v>
      </c>
      <c r="L42" s="35">
        <f t="shared" si="59"/>
        <v>0</v>
      </c>
      <c r="M42" s="35">
        <f t="shared" si="59"/>
        <v>0</v>
      </c>
      <c r="N42" s="35">
        <f t="shared" si="59"/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7">
        <f>SUM(O42,R42,U42)</f>
        <v>0</v>
      </c>
      <c r="Y42" s="37">
        <f>SUM(P42,S42,V42)</f>
        <v>0</v>
      </c>
      <c r="Z42" s="37">
        <f>SUM(Q42,T42,W42)</f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7">
        <f>SUM(AA42,AD42,AG42,AM42,AJ42,)</f>
        <v>0</v>
      </c>
      <c r="AQ42" s="37">
        <f>SUM(AB42,AE42,AH42,AN42,AK42,)</f>
        <v>0</v>
      </c>
      <c r="AR42" s="37">
        <f>SUM(AC42,AF42,AI42,AO42,AL42,)</f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/>
      <c r="AY42" s="35">
        <v>0</v>
      </c>
      <c r="AZ42" s="35">
        <f t="shared" si="51"/>
        <v>0</v>
      </c>
      <c r="BA42" s="35">
        <f t="shared" si="52"/>
        <v>0</v>
      </c>
      <c r="BB42" s="35">
        <f t="shared" si="53"/>
        <v>0</v>
      </c>
      <c r="BC42" s="37">
        <f>SUM(F42,X42,AP42,AZ42,L42)</f>
        <v>0</v>
      </c>
      <c r="BD42" s="37">
        <f>SUM(G42,Y42,AQ42,BA42,M42)</f>
        <v>0</v>
      </c>
      <c r="BE42" s="37">
        <f>SUM(H42,Z42,AR42,BB42,N42)</f>
        <v>0</v>
      </c>
      <c r="BF42" s="34" t="s">
        <v>132</v>
      </c>
      <c r="BH42" s="2"/>
      <c r="BI42" s="2"/>
      <c r="BL42" s="2"/>
      <c r="BM42" s="2"/>
    </row>
    <row r="43" spans="1:65" s="32" customFormat="1">
      <c r="A43" s="39" t="s">
        <v>133</v>
      </c>
      <c r="B43" s="25" t="s">
        <v>134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8">
        <f>SUM(F44:F45)</f>
        <v>0</v>
      </c>
      <c r="G43" s="28">
        <f>SUM(G44:G45)</f>
        <v>0</v>
      </c>
      <c r="H43" s="28">
        <f t="shared" ref="H43:M43" si="60">SUM(H44:H45)</f>
        <v>0</v>
      </c>
      <c r="I43" s="28">
        <f t="shared" si="60"/>
        <v>0</v>
      </c>
      <c r="J43" s="28">
        <f t="shared" si="60"/>
        <v>0</v>
      </c>
      <c r="K43" s="28">
        <f t="shared" si="60"/>
        <v>0</v>
      </c>
      <c r="L43" s="26">
        <f t="shared" si="60"/>
        <v>0</v>
      </c>
      <c r="M43" s="26">
        <f t="shared" si="60"/>
        <v>0</v>
      </c>
      <c r="N43" s="26">
        <f t="shared" ref="N43:V43" si="61">SUM(N44:N45)</f>
        <v>0</v>
      </c>
      <c r="O43" s="28">
        <f t="shared" si="61"/>
        <v>0</v>
      </c>
      <c r="P43" s="28">
        <f t="shared" si="61"/>
        <v>0</v>
      </c>
      <c r="Q43" s="28">
        <f t="shared" si="61"/>
        <v>0</v>
      </c>
      <c r="R43" s="28">
        <f t="shared" si="61"/>
        <v>0</v>
      </c>
      <c r="S43" s="28">
        <f t="shared" si="61"/>
        <v>0</v>
      </c>
      <c r="T43" s="28">
        <f t="shared" si="61"/>
        <v>0</v>
      </c>
      <c r="U43" s="28">
        <f t="shared" si="61"/>
        <v>0</v>
      </c>
      <c r="V43" s="28">
        <f t="shared" si="61"/>
        <v>0</v>
      </c>
      <c r="W43" s="28">
        <f t="shared" ref="W43:AB43" si="62">SUM(W44:W45)</f>
        <v>0</v>
      </c>
      <c r="X43" s="28">
        <f t="shared" si="62"/>
        <v>0</v>
      </c>
      <c r="Y43" s="29">
        <f t="shared" si="62"/>
        <v>0</v>
      </c>
      <c r="Z43" s="28">
        <f t="shared" si="62"/>
        <v>0</v>
      </c>
      <c r="AA43" s="28">
        <f t="shared" si="62"/>
        <v>0</v>
      </c>
      <c r="AB43" s="28">
        <f t="shared" si="62"/>
        <v>0</v>
      </c>
      <c r="AC43" s="28">
        <f t="shared" ref="AC43:AN43" si="63">SUM(AC44:AC45)</f>
        <v>0</v>
      </c>
      <c r="AD43" s="28">
        <f t="shared" si="63"/>
        <v>0</v>
      </c>
      <c r="AE43" s="28">
        <f t="shared" si="63"/>
        <v>0</v>
      </c>
      <c r="AF43" s="28">
        <f t="shared" si="63"/>
        <v>0</v>
      </c>
      <c r="AG43" s="28">
        <f t="shared" si="63"/>
        <v>0</v>
      </c>
      <c r="AH43" s="28">
        <f t="shared" si="63"/>
        <v>0</v>
      </c>
      <c r="AI43" s="28">
        <f t="shared" si="63"/>
        <v>0</v>
      </c>
      <c r="AJ43" s="28">
        <f t="shared" si="63"/>
        <v>0</v>
      </c>
      <c r="AK43" s="28">
        <f t="shared" si="63"/>
        <v>0</v>
      </c>
      <c r="AL43" s="28">
        <f t="shared" si="63"/>
        <v>0</v>
      </c>
      <c r="AM43" s="28">
        <f t="shared" si="63"/>
        <v>0</v>
      </c>
      <c r="AN43" s="28">
        <f t="shared" si="63"/>
        <v>0</v>
      </c>
      <c r="AO43" s="28">
        <f t="shared" ref="AO43:AT43" si="64">SUM(AO44:AO45)</f>
        <v>0</v>
      </c>
      <c r="AP43" s="29">
        <f t="shared" si="64"/>
        <v>0</v>
      </c>
      <c r="AQ43" s="29">
        <f t="shared" si="64"/>
        <v>0</v>
      </c>
      <c r="AR43" s="28">
        <f t="shared" si="64"/>
        <v>0</v>
      </c>
      <c r="AS43" s="28">
        <f t="shared" si="64"/>
        <v>0</v>
      </c>
      <c r="AT43" s="28">
        <f t="shared" si="64"/>
        <v>0</v>
      </c>
      <c r="AU43" s="28">
        <f>SUM(AU44:AU45)</f>
        <v>0</v>
      </c>
      <c r="AV43" s="28">
        <f>SUM(AV44:AV45)</f>
        <v>0</v>
      </c>
      <c r="AW43" s="28">
        <f>SUM(AW44:AW45)</f>
        <v>0</v>
      </c>
      <c r="AX43" s="28"/>
      <c r="AY43" s="28">
        <f>SUM(AY44:AY45)</f>
        <v>0</v>
      </c>
      <c r="AZ43" s="35">
        <f t="shared" si="51"/>
        <v>0</v>
      </c>
      <c r="BA43" s="35">
        <f t="shared" si="52"/>
        <v>0</v>
      </c>
      <c r="BB43" s="35">
        <f t="shared" si="53"/>
        <v>0</v>
      </c>
      <c r="BC43" s="37">
        <f>SUM(BC44:BC45)</f>
        <v>0</v>
      </c>
      <c r="BD43" s="37">
        <f>SUM(BD44:BD45)</f>
        <v>0</v>
      </c>
      <c r="BE43" s="37">
        <f>SUM(BE44:BE45)</f>
        <v>0</v>
      </c>
      <c r="BF43" s="25" t="s">
        <v>134</v>
      </c>
    </row>
    <row r="44" spans="1:65">
      <c r="A44" s="33" t="s">
        <v>135</v>
      </c>
      <c r="B44" s="34" t="s">
        <v>136</v>
      </c>
      <c r="C44" s="35">
        <v>0</v>
      </c>
      <c r="D44" s="35">
        <v>0</v>
      </c>
      <c r="E44" s="35">
        <v>0</v>
      </c>
      <c r="F44" s="35">
        <f t="shared" ref="F44:N48" si="65">SUM(C44)</f>
        <v>0</v>
      </c>
      <c r="G44" s="35">
        <f t="shared" si="65"/>
        <v>0</v>
      </c>
      <c r="H44" s="35">
        <f t="shared" si="65"/>
        <v>0</v>
      </c>
      <c r="I44" s="35">
        <f t="shared" si="65"/>
        <v>0</v>
      </c>
      <c r="J44" s="35">
        <f t="shared" si="65"/>
        <v>0</v>
      </c>
      <c r="K44" s="35">
        <f t="shared" si="65"/>
        <v>0</v>
      </c>
      <c r="L44" s="35">
        <f t="shared" si="65"/>
        <v>0</v>
      </c>
      <c r="M44" s="35">
        <f t="shared" si="65"/>
        <v>0</v>
      </c>
      <c r="N44" s="35">
        <f t="shared" si="65"/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7">
        <f t="shared" ref="X44:Z48" si="66">SUM(O44,R44,U44)</f>
        <v>0</v>
      </c>
      <c r="Y44" s="37">
        <f t="shared" si="66"/>
        <v>0</v>
      </c>
      <c r="Z44" s="37">
        <f t="shared" si="66"/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7">
        <f t="shared" ref="AP44:AR48" si="67">SUM(AA44,AD44,AG44,AM44,AJ44,)</f>
        <v>0</v>
      </c>
      <c r="AQ44" s="37">
        <f t="shared" si="67"/>
        <v>0</v>
      </c>
      <c r="AR44" s="37">
        <f t="shared" si="67"/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/>
      <c r="AY44" s="35">
        <v>0</v>
      </c>
      <c r="AZ44" s="35">
        <f t="shared" si="51"/>
        <v>0</v>
      </c>
      <c r="BA44" s="35">
        <f t="shared" si="52"/>
        <v>0</v>
      </c>
      <c r="BB44" s="35">
        <f t="shared" si="53"/>
        <v>0</v>
      </c>
      <c r="BC44" s="37">
        <f t="shared" ref="BC44:BE48" si="68">SUM(F44,X44,AP44,AZ44,L44)</f>
        <v>0</v>
      </c>
      <c r="BD44" s="37">
        <f t="shared" si="68"/>
        <v>0</v>
      </c>
      <c r="BE44" s="37">
        <f t="shared" si="68"/>
        <v>0</v>
      </c>
      <c r="BF44" s="34" t="s">
        <v>136</v>
      </c>
      <c r="BH44" s="2"/>
      <c r="BI44" s="2"/>
      <c r="BL44" s="2"/>
      <c r="BM44" s="2"/>
    </row>
    <row r="45" spans="1:65">
      <c r="A45" s="33" t="s">
        <v>137</v>
      </c>
      <c r="B45" s="34" t="s">
        <v>138</v>
      </c>
      <c r="C45" s="35">
        <v>0</v>
      </c>
      <c r="D45" s="35">
        <v>0</v>
      </c>
      <c r="E45" s="35">
        <v>0</v>
      </c>
      <c r="F45" s="35">
        <f t="shared" si="65"/>
        <v>0</v>
      </c>
      <c r="G45" s="35">
        <f t="shared" si="65"/>
        <v>0</v>
      </c>
      <c r="H45" s="35">
        <f t="shared" si="65"/>
        <v>0</v>
      </c>
      <c r="I45" s="35">
        <f t="shared" si="65"/>
        <v>0</v>
      </c>
      <c r="J45" s="35">
        <f t="shared" si="65"/>
        <v>0</v>
      </c>
      <c r="K45" s="35">
        <f t="shared" si="65"/>
        <v>0</v>
      </c>
      <c r="L45" s="35">
        <f t="shared" si="65"/>
        <v>0</v>
      </c>
      <c r="M45" s="35">
        <f t="shared" si="65"/>
        <v>0</v>
      </c>
      <c r="N45" s="35">
        <f t="shared" si="65"/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7">
        <f t="shared" si="66"/>
        <v>0</v>
      </c>
      <c r="Y45" s="37">
        <f t="shared" si="66"/>
        <v>0</v>
      </c>
      <c r="Z45" s="37">
        <f t="shared" si="66"/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7">
        <f t="shared" si="67"/>
        <v>0</v>
      </c>
      <c r="AQ45" s="37">
        <f t="shared" si="67"/>
        <v>0</v>
      </c>
      <c r="AR45" s="37">
        <f t="shared" si="67"/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/>
      <c r="AY45" s="35">
        <v>0</v>
      </c>
      <c r="AZ45" s="35">
        <f t="shared" si="51"/>
        <v>0</v>
      </c>
      <c r="BA45" s="35">
        <f t="shared" si="52"/>
        <v>0</v>
      </c>
      <c r="BB45" s="35">
        <f t="shared" si="53"/>
        <v>0</v>
      </c>
      <c r="BC45" s="37">
        <f t="shared" si="68"/>
        <v>0</v>
      </c>
      <c r="BD45" s="37">
        <f t="shared" si="68"/>
        <v>0</v>
      </c>
      <c r="BE45" s="37">
        <f t="shared" si="68"/>
        <v>0</v>
      </c>
      <c r="BF45" s="34" t="s">
        <v>138</v>
      </c>
      <c r="BH45" s="2"/>
      <c r="BI45" s="2"/>
      <c r="BL45" s="2"/>
      <c r="BM45" s="2"/>
    </row>
    <row r="46" spans="1:65" s="32" customFormat="1">
      <c r="A46" s="39" t="s">
        <v>139</v>
      </c>
      <c r="B46" s="25" t="s">
        <v>140</v>
      </c>
      <c r="C46" s="35">
        <v>0</v>
      </c>
      <c r="D46" s="35">
        <v>0</v>
      </c>
      <c r="E46" s="35">
        <v>0</v>
      </c>
      <c r="F46" s="35">
        <f t="shared" si="65"/>
        <v>0</v>
      </c>
      <c r="G46" s="35">
        <f t="shared" si="65"/>
        <v>0</v>
      </c>
      <c r="H46" s="35">
        <f t="shared" si="65"/>
        <v>0</v>
      </c>
      <c r="I46" s="35">
        <f t="shared" si="65"/>
        <v>0</v>
      </c>
      <c r="J46" s="35">
        <f t="shared" si="65"/>
        <v>0</v>
      </c>
      <c r="K46" s="35">
        <f t="shared" si="65"/>
        <v>0</v>
      </c>
      <c r="L46" s="35">
        <f t="shared" si="65"/>
        <v>0</v>
      </c>
      <c r="M46" s="35">
        <f t="shared" si="65"/>
        <v>0</v>
      </c>
      <c r="N46" s="35">
        <f t="shared" si="65"/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7">
        <f t="shared" si="66"/>
        <v>0</v>
      </c>
      <c r="Y46" s="37">
        <f t="shared" si="66"/>
        <v>0</v>
      </c>
      <c r="Z46" s="37">
        <f t="shared" si="66"/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7">
        <f t="shared" si="67"/>
        <v>0</v>
      </c>
      <c r="AQ46" s="37">
        <f t="shared" si="67"/>
        <v>0</v>
      </c>
      <c r="AR46" s="37">
        <f t="shared" si="67"/>
        <v>0</v>
      </c>
      <c r="AS46" s="35">
        <v>0</v>
      </c>
      <c r="AT46" s="35">
        <v>0</v>
      </c>
      <c r="AU46" s="35">
        <v>0</v>
      </c>
      <c r="AV46" s="41"/>
      <c r="AW46" s="41"/>
      <c r="AX46" s="43"/>
      <c r="AY46" s="41"/>
      <c r="AZ46" s="35">
        <f t="shared" si="51"/>
        <v>0</v>
      </c>
      <c r="BA46" s="35">
        <f t="shared" si="52"/>
        <v>0</v>
      </c>
      <c r="BB46" s="35">
        <f t="shared" si="53"/>
        <v>0</v>
      </c>
      <c r="BC46" s="57">
        <f t="shared" si="68"/>
        <v>0</v>
      </c>
      <c r="BD46" s="57">
        <f t="shared" si="68"/>
        <v>0</v>
      </c>
      <c r="BE46" s="57">
        <f t="shared" si="68"/>
        <v>0</v>
      </c>
      <c r="BF46" s="25" t="s">
        <v>140</v>
      </c>
    </row>
    <row r="47" spans="1:65" s="32" customFormat="1">
      <c r="A47" s="39" t="s">
        <v>141</v>
      </c>
      <c r="B47" s="25" t="s">
        <v>142</v>
      </c>
      <c r="C47" s="35">
        <v>0</v>
      </c>
      <c r="D47" s="35">
        <v>0</v>
      </c>
      <c r="E47" s="35">
        <v>0</v>
      </c>
      <c r="F47" s="35">
        <f t="shared" si="65"/>
        <v>0</v>
      </c>
      <c r="G47" s="35">
        <f t="shared" si="65"/>
        <v>0</v>
      </c>
      <c r="H47" s="35">
        <f t="shared" si="65"/>
        <v>0</v>
      </c>
      <c r="I47" s="35">
        <f t="shared" si="65"/>
        <v>0</v>
      </c>
      <c r="J47" s="35">
        <f t="shared" si="65"/>
        <v>0</v>
      </c>
      <c r="K47" s="35">
        <f t="shared" si="65"/>
        <v>0</v>
      </c>
      <c r="L47" s="35">
        <f t="shared" si="65"/>
        <v>0</v>
      </c>
      <c r="M47" s="35">
        <f t="shared" si="65"/>
        <v>0</v>
      </c>
      <c r="N47" s="35">
        <f t="shared" si="65"/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7">
        <f t="shared" si="66"/>
        <v>0</v>
      </c>
      <c r="Y47" s="37">
        <f t="shared" si="66"/>
        <v>0</v>
      </c>
      <c r="Z47" s="37">
        <f t="shared" si="66"/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7">
        <f t="shared" si="67"/>
        <v>0</v>
      </c>
      <c r="AQ47" s="37">
        <f t="shared" si="67"/>
        <v>0</v>
      </c>
      <c r="AR47" s="37">
        <f t="shared" si="67"/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43"/>
      <c r="AY47" s="35">
        <v>0</v>
      </c>
      <c r="AZ47" s="35">
        <f t="shared" si="51"/>
        <v>0</v>
      </c>
      <c r="BA47" s="35">
        <f t="shared" si="52"/>
        <v>0</v>
      </c>
      <c r="BB47" s="35">
        <f t="shared" si="53"/>
        <v>0</v>
      </c>
      <c r="BC47" s="57">
        <f t="shared" si="68"/>
        <v>0</v>
      </c>
      <c r="BD47" s="57">
        <f t="shared" si="68"/>
        <v>0</v>
      </c>
      <c r="BE47" s="57">
        <f t="shared" si="68"/>
        <v>0</v>
      </c>
      <c r="BF47" s="25" t="s">
        <v>142</v>
      </c>
    </row>
    <row r="48" spans="1:65" s="32" customFormat="1">
      <c r="A48" s="39" t="s">
        <v>143</v>
      </c>
      <c r="B48" s="25" t="s">
        <v>144</v>
      </c>
      <c r="C48" s="35">
        <v>0</v>
      </c>
      <c r="D48" s="35">
        <v>0</v>
      </c>
      <c r="E48" s="35">
        <v>0</v>
      </c>
      <c r="F48" s="35">
        <f t="shared" si="65"/>
        <v>0</v>
      </c>
      <c r="G48" s="35">
        <f t="shared" si="65"/>
        <v>0</v>
      </c>
      <c r="H48" s="35">
        <f t="shared" si="65"/>
        <v>0</v>
      </c>
      <c r="I48" s="35">
        <f t="shared" si="65"/>
        <v>0</v>
      </c>
      <c r="J48" s="35">
        <f t="shared" si="65"/>
        <v>0</v>
      </c>
      <c r="K48" s="35">
        <f t="shared" si="65"/>
        <v>0</v>
      </c>
      <c r="L48" s="35">
        <f t="shared" si="65"/>
        <v>0</v>
      </c>
      <c r="M48" s="35">
        <f t="shared" si="65"/>
        <v>0</v>
      </c>
      <c r="N48" s="35">
        <f t="shared" si="65"/>
        <v>0</v>
      </c>
      <c r="O48" s="42">
        <v>303358</v>
      </c>
      <c r="P48" s="42">
        <f>303358+25523</f>
        <v>328881</v>
      </c>
      <c r="Q48" s="41">
        <v>83983</v>
      </c>
      <c r="R48" s="41"/>
      <c r="S48" s="41"/>
      <c r="T48" s="41"/>
      <c r="U48" s="41"/>
      <c r="V48" s="41"/>
      <c r="W48" s="41"/>
      <c r="X48" s="57">
        <f t="shared" si="66"/>
        <v>303358</v>
      </c>
      <c r="Y48" s="57">
        <f t="shared" si="66"/>
        <v>328881</v>
      </c>
      <c r="Z48" s="57">
        <f t="shared" si="66"/>
        <v>83983</v>
      </c>
      <c r="AA48" s="41"/>
      <c r="AB48" s="41"/>
      <c r="AC48" s="41"/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35">
        <v>0</v>
      </c>
      <c r="AN48" s="35">
        <v>0</v>
      </c>
      <c r="AO48" s="35">
        <v>0</v>
      </c>
      <c r="AP48" s="37">
        <f t="shared" si="67"/>
        <v>0</v>
      </c>
      <c r="AQ48" s="37">
        <f t="shared" si="67"/>
        <v>0</v>
      </c>
      <c r="AR48" s="37">
        <f t="shared" si="67"/>
        <v>0</v>
      </c>
      <c r="AS48" s="35">
        <v>0</v>
      </c>
      <c r="AT48" s="35">
        <v>0</v>
      </c>
      <c r="AU48" s="35">
        <v>0</v>
      </c>
      <c r="AV48" s="41"/>
      <c r="AW48" s="41"/>
      <c r="AX48" s="43"/>
      <c r="AY48" s="41"/>
      <c r="AZ48" s="35">
        <f t="shared" si="51"/>
        <v>0</v>
      </c>
      <c r="BA48" s="35">
        <f t="shared" si="52"/>
        <v>0</v>
      </c>
      <c r="BB48" s="35">
        <f t="shared" si="53"/>
        <v>0</v>
      </c>
      <c r="BC48" s="57">
        <f t="shared" si="68"/>
        <v>303358</v>
      </c>
      <c r="BD48" s="57">
        <f t="shared" si="68"/>
        <v>328881</v>
      </c>
      <c r="BE48" s="57">
        <f t="shared" si="68"/>
        <v>83983</v>
      </c>
      <c r="BF48" s="25" t="s">
        <v>144</v>
      </c>
      <c r="BG48" s="59"/>
    </row>
    <row r="49" spans="1:69" s="32" customFormat="1">
      <c r="A49" s="39" t="s">
        <v>145</v>
      </c>
      <c r="B49" s="25" t="s">
        <v>146</v>
      </c>
      <c r="C49" s="41">
        <f t="shared" ref="C49:BE49" si="69">SUM(C50:C56)</f>
        <v>0</v>
      </c>
      <c r="D49" s="41">
        <f t="shared" si="69"/>
        <v>0</v>
      </c>
      <c r="E49" s="41">
        <f t="shared" si="69"/>
        <v>0</v>
      </c>
      <c r="F49" s="41">
        <f t="shared" si="69"/>
        <v>0</v>
      </c>
      <c r="G49" s="41">
        <f t="shared" si="69"/>
        <v>0</v>
      </c>
      <c r="H49" s="41">
        <f t="shared" si="69"/>
        <v>0</v>
      </c>
      <c r="I49" s="41">
        <f>SUM(I50:I56)</f>
        <v>0</v>
      </c>
      <c r="J49" s="41">
        <f>SUM(J50:J56)</f>
        <v>0</v>
      </c>
      <c r="K49" s="41">
        <f>SUM(K50:K56)</f>
        <v>0</v>
      </c>
      <c r="L49" s="41">
        <f t="shared" si="69"/>
        <v>0</v>
      </c>
      <c r="M49" s="41">
        <f t="shared" si="69"/>
        <v>0</v>
      </c>
      <c r="N49" s="41">
        <f t="shared" si="69"/>
        <v>0</v>
      </c>
      <c r="O49" s="41">
        <f t="shared" si="69"/>
        <v>112710</v>
      </c>
      <c r="P49" s="42">
        <f>SUM(P50:P56)</f>
        <v>112710</v>
      </c>
      <c r="Q49" s="41">
        <f t="shared" si="69"/>
        <v>112710</v>
      </c>
      <c r="R49" s="42">
        <f>SUM(R50:R56)</f>
        <v>6000</v>
      </c>
      <c r="S49" s="42">
        <f>SUM(S50:S56)</f>
        <v>6000</v>
      </c>
      <c r="T49" s="41">
        <f t="shared" si="69"/>
        <v>0</v>
      </c>
      <c r="U49" s="41">
        <f t="shared" si="69"/>
        <v>0</v>
      </c>
      <c r="V49" s="41">
        <f t="shared" si="69"/>
        <v>0</v>
      </c>
      <c r="W49" s="41">
        <f t="shared" si="69"/>
        <v>0</v>
      </c>
      <c r="X49" s="41">
        <f t="shared" si="69"/>
        <v>118710</v>
      </c>
      <c r="Y49" s="41">
        <f t="shared" si="69"/>
        <v>118710</v>
      </c>
      <c r="Z49" s="41">
        <f t="shared" si="69"/>
        <v>112710</v>
      </c>
      <c r="AA49" s="41">
        <f>SUM(AA50:AA56)</f>
        <v>0</v>
      </c>
      <c r="AB49" s="41">
        <f>SUM(AB50:AB56)</f>
        <v>0</v>
      </c>
      <c r="AC49" s="41">
        <f t="shared" si="69"/>
        <v>0</v>
      </c>
      <c r="AD49" s="41">
        <f t="shared" si="69"/>
        <v>0</v>
      </c>
      <c r="AE49" s="41">
        <f t="shared" si="69"/>
        <v>0</v>
      </c>
      <c r="AF49" s="41">
        <f t="shared" si="69"/>
        <v>0</v>
      </c>
      <c r="AG49" s="41">
        <f t="shared" si="69"/>
        <v>0</v>
      </c>
      <c r="AH49" s="41">
        <f t="shared" si="69"/>
        <v>0</v>
      </c>
      <c r="AI49" s="41">
        <f t="shared" si="69"/>
        <v>0</v>
      </c>
      <c r="AJ49" s="41">
        <f>SUM(AJ50:AJ56)</f>
        <v>0</v>
      </c>
      <c r="AK49" s="41">
        <f>SUM(AK50:AK56)</f>
        <v>0</v>
      </c>
      <c r="AL49" s="41">
        <f>SUM(AL50:AL56)</f>
        <v>0</v>
      </c>
      <c r="AM49" s="41">
        <f t="shared" si="69"/>
        <v>0</v>
      </c>
      <c r="AN49" s="41">
        <f t="shared" si="69"/>
        <v>0</v>
      </c>
      <c r="AO49" s="41">
        <f t="shared" si="69"/>
        <v>0</v>
      </c>
      <c r="AP49" s="41">
        <f t="shared" si="69"/>
        <v>0</v>
      </c>
      <c r="AQ49" s="41">
        <f t="shared" si="69"/>
        <v>0</v>
      </c>
      <c r="AR49" s="41">
        <f t="shared" si="69"/>
        <v>0</v>
      </c>
      <c r="AS49" s="41">
        <f>SUM(AS50:AS56)</f>
        <v>0</v>
      </c>
      <c r="AT49" s="41">
        <f>SUM(AT50:AT56)</f>
        <v>0</v>
      </c>
      <c r="AU49" s="41">
        <f t="shared" si="69"/>
        <v>0</v>
      </c>
      <c r="AV49" s="41">
        <f t="shared" si="69"/>
        <v>0</v>
      </c>
      <c r="AW49" s="41">
        <f t="shared" si="69"/>
        <v>0</v>
      </c>
      <c r="AX49" s="41">
        <f t="shared" si="69"/>
        <v>0</v>
      </c>
      <c r="AY49" s="41">
        <f t="shared" si="69"/>
        <v>0</v>
      </c>
      <c r="AZ49" s="41">
        <f t="shared" si="69"/>
        <v>0</v>
      </c>
      <c r="BA49" s="41">
        <f t="shared" si="69"/>
        <v>0</v>
      </c>
      <c r="BB49" s="41">
        <f t="shared" si="69"/>
        <v>0</v>
      </c>
      <c r="BC49" s="41">
        <f t="shared" si="69"/>
        <v>118710</v>
      </c>
      <c r="BD49" s="41">
        <f t="shared" si="69"/>
        <v>118710</v>
      </c>
      <c r="BE49" s="41">
        <f t="shared" si="69"/>
        <v>112710</v>
      </c>
      <c r="BF49" s="25" t="s">
        <v>146</v>
      </c>
    </row>
    <row r="50" spans="1:69">
      <c r="A50" s="33" t="s">
        <v>147</v>
      </c>
      <c r="B50" s="34" t="s">
        <v>148</v>
      </c>
      <c r="C50" s="35">
        <v>0</v>
      </c>
      <c r="D50" s="35">
        <v>0</v>
      </c>
      <c r="E50" s="35">
        <v>0</v>
      </c>
      <c r="F50" s="35">
        <f t="shared" ref="F50:N56" si="70">SUM(C50)</f>
        <v>0</v>
      </c>
      <c r="G50" s="35">
        <f t="shared" si="70"/>
        <v>0</v>
      </c>
      <c r="H50" s="35">
        <f t="shared" si="70"/>
        <v>0</v>
      </c>
      <c r="I50" s="35">
        <f t="shared" si="70"/>
        <v>0</v>
      </c>
      <c r="J50" s="35">
        <f t="shared" si="70"/>
        <v>0</v>
      </c>
      <c r="K50" s="35">
        <f t="shared" si="70"/>
        <v>0</v>
      </c>
      <c r="L50" s="35">
        <f t="shared" si="70"/>
        <v>0</v>
      </c>
      <c r="M50" s="35">
        <f t="shared" si="70"/>
        <v>0</v>
      </c>
      <c r="N50" s="35">
        <f t="shared" si="70"/>
        <v>0</v>
      </c>
      <c r="O50" s="35"/>
      <c r="P50" s="36"/>
      <c r="Q50" s="35"/>
      <c r="R50" s="36"/>
      <c r="S50" s="36"/>
      <c r="T50" s="35"/>
      <c r="U50" s="35"/>
      <c r="V50" s="35"/>
      <c r="W50" s="35"/>
      <c r="X50" s="37">
        <f t="shared" ref="X50:Z56" si="71">SUM(O50,R50,U50)</f>
        <v>0</v>
      </c>
      <c r="Y50" s="37">
        <f t="shared" si="71"/>
        <v>0</v>
      </c>
      <c r="Z50" s="37">
        <f t="shared" si="71"/>
        <v>0</v>
      </c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>
        <v>0</v>
      </c>
      <c r="AN50" s="35">
        <v>0</v>
      </c>
      <c r="AO50" s="35">
        <v>0</v>
      </c>
      <c r="AP50" s="37">
        <f t="shared" ref="AP50:AR57" si="72">SUM(AA50,AD50,AG50,AM50,AJ50,)</f>
        <v>0</v>
      </c>
      <c r="AQ50" s="37">
        <f t="shared" si="72"/>
        <v>0</v>
      </c>
      <c r="AR50" s="37">
        <f t="shared" si="72"/>
        <v>0</v>
      </c>
      <c r="AS50" s="35"/>
      <c r="AT50" s="35"/>
      <c r="AU50" s="35"/>
      <c r="AV50" s="35"/>
      <c r="AW50" s="35"/>
      <c r="AX50" s="35"/>
      <c r="AY50" s="35"/>
      <c r="AZ50" s="35">
        <f t="shared" ref="AZ50:BA57" si="73">SUM(AS50,AV50)</f>
        <v>0</v>
      </c>
      <c r="BA50" s="35">
        <f t="shared" si="73"/>
        <v>0</v>
      </c>
      <c r="BB50" s="35">
        <f t="shared" ref="BB50:BB57" si="74">SUM(AU50,AY50)</f>
        <v>0</v>
      </c>
      <c r="BC50" s="37">
        <f t="shared" ref="BC50:BE56" si="75">SUM(F50,X50,AP50,AZ50,L50)</f>
        <v>0</v>
      </c>
      <c r="BD50" s="37">
        <f t="shared" si="75"/>
        <v>0</v>
      </c>
      <c r="BE50" s="37">
        <f t="shared" si="75"/>
        <v>0</v>
      </c>
      <c r="BF50" s="34" t="s">
        <v>148</v>
      </c>
      <c r="BH50" s="2"/>
      <c r="BI50" s="2"/>
      <c r="BL50" s="2"/>
      <c r="BM50" s="2"/>
    </row>
    <row r="51" spans="1:69">
      <c r="A51" s="33" t="s">
        <v>149</v>
      </c>
      <c r="B51" s="34" t="s">
        <v>150</v>
      </c>
      <c r="C51" s="35">
        <v>0</v>
      </c>
      <c r="D51" s="35">
        <v>0</v>
      </c>
      <c r="E51" s="35">
        <v>0</v>
      </c>
      <c r="F51" s="35">
        <f t="shared" si="70"/>
        <v>0</v>
      </c>
      <c r="G51" s="35">
        <f t="shared" si="70"/>
        <v>0</v>
      </c>
      <c r="H51" s="35">
        <f t="shared" si="70"/>
        <v>0</v>
      </c>
      <c r="I51" s="35">
        <f t="shared" si="70"/>
        <v>0</v>
      </c>
      <c r="J51" s="35">
        <f t="shared" si="70"/>
        <v>0</v>
      </c>
      <c r="K51" s="35">
        <f t="shared" si="70"/>
        <v>0</v>
      </c>
      <c r="L51" s="35">
        <f t="shared" si="70"/>
        <v>0</v>
      </c>
      <c r="M51" s="35">
        <f t="shared" si="70"/>
        <v>0</v>
      </c>
      <c r="N51" s="35">
        <f t="shared" si="70"/>
        <v>0</v>
      </c>
      <c r="O51" s="35">
        <v>50610</v>
      </c>
      <c r="P51" s="36">
        <v>50610</v>
      </c>
      <c r="Q51" s="35">
        <f>6210+44400</f>
        <v>50610</v>
      </c>
      <c r="R51" s="36"/>
      <c r="S51" s="36"/>
      <c r="T51" s="35"/>
      <c r="U51" s="35"/>
      <c r="V51" s="35"/>
      <c r="W51" s="35"/>
      <c r="X51" s="37">
        <f t="shared" si="71"/>
        <v>50610</v>
      </c>
      <c r="Y51" s="37">
        <f t="shared" si="71"/>
        <v>50610</v>
      </c>
      <c r="Z51" s="37">
        <f t="shared" si="71"/>
        <v>50610</v>
      </c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>
        <v>0</v>
      </c>
      <c r="AN51" s="35">
        <v>0</v>
      </c>
      <c r="AO51" s="35">
        <v>0</v>
      </c>
      <c r="AP51" s="37">
        <f t="shared" si="72"/>
        <v>0</v>
      </c>
      <c r="AQ51" s="37">
        <f t="shared" si="72"/>
        <v>0</v>
      </c>
      <c r="AR51" s="37">
        <f t="shared" si="72"/>
        <v>0</v>
      </c>
      <c r="AS51" s="35"/>
      <c r="AT51" s="35"/>
      <c r="AU51" s="35"/>
      <c r="AV51" s="35"/>
      <c r="AW51" s="35"/>
      <c r="AX51" s="35"/>
      <c r="AY51" s="35"/>
      <c r="AZ51" s="35">
        <f t="shared" si="73"/>
        <v>0</v>
      </c>
      <c r="BA51" s="35">
        <f t="shared" si="73"/>
        <v>0</v>
      </c>
      <c r="BB51" s="35">
        <f t="shared" si="74"/>
        <v>0</v>
      </c>
      <c r="BC51" s="37">
        <f t="shared" si="75"/>
        <v>50610</v>
      </c>
      <c r="BD51" s="37">
        <f t="shared" si="75"/>
        <v>50610</v>
      </c>
      <c r="BE51" s="37">
        <f t="shared" si="75"/>
        <v>50610</v>
      </c>
      <c r="BF51" s="34" t="s">
        <v>150</v>
      </c>
      <c r="BH51" s="2"/>
      <c r="BI51" s="2"/>
      <c r="BL51" s="2"/>
      <c r="BM51" s="2"/>
    </row>
    <row r="52" spans="1:69">
      <c r="A52" s="33" t="s">
        <v>151</v>
      </c>
      <c r="B52" s="34" t="s">
        <v>152</v>
      </c>
      <c r="C52" s="35">
        <v>0</v>
      </c>
      <c r="D52" s="35">
        <v>0</v>
      </c>
      <c r="E52" s="35">
        <v>0</v>
      </c>
      <c r="F52" s="35">
        <f t="shared" si="70"/>
        <v>0</v>
      </c>
      <c r="G52" s="35">
        <f t="shared" si="70"/>
        <v>0</v>
      </c>
      <c r="H52" s="35">
        <f t="shared" si="70"/>
        <v>0</v>
      </c>
      <c r="I52" s="35">
        <f t="shared" si="70"/>
        <v>0</v>
      </c>
      <c r="J52" s="35">
        <f t="shared" si="70"/>
        <v>0</v>
      </c>
      <c r="K52" s="35">
        <f t="shared" si="70"/>
        <v>0</v>
      </c>
      <c r="L52" s="35">
        <f t="shared" si="70"/>
        <v>0</v>
      </c>
      <c r="M52" s="35">
        <f t="shared" si="70"/>
        <v>0</v>
      </c>
      <c r="N52" s="35">
        <f t="shared" si="70"/>
        <v>0</v>
      </c>
      <c r="O52" s="36">
        <v>62100</v>
      </c>
      <c r="P52" s="36">
        <v>62100</v>
      </c>
      <c r="Q52" s="35">
        <f>2000+14500+45600</f>
        <v>62100</v>
      </c>
      <c r="R52" s="36">
        <v>6000</v>
      </c>
      <c r="S52" s="36">
        <v>6000</v>
      </c>
      <c r="T52" s="35"/>
      <c r="U52" s="35"/>
      <c r="V52" s="35"/>
      <c r="W52" s="35"/>
      <c r="X52" s="37">
        <f t="shared" si="71"/>
        <v>68100</v>
      </c>
      <c r="Y52" s="37">
        <f t="shared" si="71"/>
        <v>68100</v>
      </c>
      <c r="Z52" s="37">
        <f t="shared" si="71"/>
        <v>62100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>
        <v>0</v>
      </c>
      <c r="AN52" s="35">
        <v>0</v>
      </c>
      <c r="AO52" s="35">
        <v>0</v>
      </c>
      <c r="AP52" s="37">
        <f t="shared" si="72"/>
        <v>0</v>
      </c>
      <c r="AQ52" s="37">
        <f t="shared" si="72"/>
        <v>0</v>
      </c>
      <c r="AR52" s="37">
        <f t="shared" si="72"/>
        <v>0</v>
      </c>
      <c r="AS52" s="35"/>
      <c r="AT52" s="35"/>
      <c r="AU52" s="35"/>
      <c r="AV52" s="35"/>
      <c r="AW52" s="35"/>
      <c r="AX52" s="35"/>
      <c r="AY52" s="35"/>
      <c r="AZ52" s="35">
        <f t="shared" si="73"/>
        <v>0</v>
      </c>
      <c r="BA52" s="35">
        <f t="shared" si="73"/>
        <v>0</v>
      </c>
      <c r="BB52" s="35">
        <f t="shared" si="74"/>
        <v>0</v>
      </c>
      <c r="BC52" s="37">
        <f t="shared" si="75"/>
        <v>68100</v>
      </c>
      <c r="BD52" s="37">
        <f t="shared" si="75"/>
        <v>68100</v>
      </c>
      <c r="BE52" s="37">
        <f t="shared" si="75"/>
        <v>62100</v>
      </c>
      <c r="BF52" s="34" t="s">
        <v>152</v>
      </c>
      <c r="BH52" s="2"/>
      <c r="BI52" s="2"/>
      <c r="BL52" s="2"/>
      <c r="BM52" s="2"/>
    </row>
    <row r="53" spans="1:69">
      <c r="A53" s="33" t="s">
        <v>153</v>
      </c>
      <c r="B53" s="34" t="s">
        <v>154</v>
      </c>
      <c r="C53" s="35">
        <v>0</v>
      </c>
      <c r="D53" s="35">
        <v>0</v>
      </c>
      <c r="E53" s="35">
        <v>0</v>
      </c>
      <c r="F53" s="35">
        <f t="shared" si="70"/>
        <v>0</v>
      </c>
      <c r="G53" s="35">
        <f t="shared" si="70"/>
        <v>0</v>
      </c>
      <c r="H53" s="35">
        <f t="shared" si="70"/>
        <v>0</v>
      </c>
      <c r="I53" s="35">
        <f t="shared" si="70"/>
        <v>0</v>
      </c>
      <c r="J53" s="35">
        <f t="shared" si="70"/>
        <v>0</v>
      </c>
      <c r="K53" s="35">
        <f t="shared" si="70"/>
        <v>0</v>
      </c>
      <c r="L53" s="35">
        <f t="shared" si="70"/>
        <v>0</v>
      </c>
      <c r="M53" s="35">
        <f t="shared" si="70"/>
        <v>0</v>
      </c>
      <c r="N53" s="35">
        <f t="shared" si="70"/>
        <v>0</v>
      </c>
      <c r="O53" s="35"/>
      <c r="P53" s="35"/>
      <c r="Q53" s="35"/>
      <c r="R53" s="35"/>
      <c r="S53" s="35"/>
      <c r="T53" s="35"/>
      <c r="U53" s="35"/>
      <c r="V53" s="35"/>
      <c r="W53" s="35"/>
      <c r="X53" s="37">
        <f t="shared" si="71"/>
        <v>0</v>
      </c>
      <c r="Y53" s="37">
        <f t="shared" si="71"/>
        <v>0</v>
      </c>
      <c r="Z53" s="37">
        <f t="shared" si="71"/>
        <v>0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>
        <v>0</v>
      </c>
      <c r="AN53" s="35">
        <v>0</v>
      </c>
      <c r="AO53" s="35">
        <v>0</v>
      </c>
      <c r="AP53" s="37">
        <f t="shared" si="72"/>
        <v>0</v>
      </c>
      <c r="AQ53" s="37">
        <f t="shared" si="72"/>
        <v>0</v>
      </c>
      <c r="AR53" s="37">
        <f t="shared" si="72"/>
        <v>0</v>
      </c>
      <c r="AS53" s="35"/>
      <c r="AT53" s="35"/>
      <c r="AU53" s="35"/>
      <c r="AV53" s="35"/>
      <c r="AW53" s="35"/>
      <c r="AX53" s="35"/>
      <c r="AY53" s="35"/>
      <c r="AZ53" s="35">
        <f t="shared" si="73"/>
        <v>0</v>
      </c>
      <c r="BA53" s="35">
        <f t="shared" si="73"/>
        <v>0</v>
      </c>
      <c r="BB53" s="35">
        <f t="shared" si="74"/>
        <v>0</v>
      </c>
      <c r="BC53" s="37">
        <f t="shared" si="75"/>
        <v>0</v>
      </c>
      <c r="BD53" s="37">
        <f t="shared" si="75"/>
        <v>0</v>
      </c>
      <c r="BE53" s="37">
        <f t="shared" si="75"/>
        <v>0</v>
      </c>
      <c r="BF53" s="34" t="s">
        <v>154</v>
      </c>
      <c r="BH53" s="2"/>
      <c r="BI53" s="2"/>
      <c r="BL53" s="2"/>
      <c r="BM53" s="2"/>
    </row>
    <row r="54" spans="1:69">
      <c r="A54" s="33" t="s">
        <v>155</v>
      </c>
      <c r="B54" s="34" t="s">
        <v>156</v>
      </c>
      <c r="C54" s="35">
        <v>0</v>
      </c>
      <c r="D54" s="35">
        <v>0</v>
      </c>
      <c r="E54" s="35">
        <v>0</v>
      </c>
      <c r="F54" s="35">
        <f t="shared" si="70"/>
        <v>0</v>
      </c>
      <c r="G54" s="35">
        <f t="shared" si="70"/>
        <v>0</v>
      </c>
      <c r="H54" s="35">
        <f t="shared" si="70"/>
        <v>0</v>
      </c>
      <c r="I54" s="35">
        <f t="shared" si="70"/>
        <v>0</v>
      </c>
      <c r="J54" s="35">
        <f t="shared" si="70"/>
        <v>0</v>
      </c>
      <c r="K54" s="35">
        <f t="shared" si="70"/>
        <v>0</v>
      </c>
      <c r="L54" s="35">
        <f t="shared" si="70"/>
        <v>0</v>
      </c>
      <c r="M54" s="35">
        <f t="shared" si="70"/>
        <v>0</v>
      </c>
      <c r="N54" s="35">
        <f t="shared" si="70"/>
        <v>0</v>
      </c>
      <c r="O54" s="35"/>
      <c r="P54" s="35"/>
      <c r="Q54" s="35"/>
      <c r="R54" s="35"/>
      <c r="S54" s="35"/>
      <c r="T54" s="35"/>
      <c r="U54" s="35"/>
      <c r="V54" s="35"/>
      <c r="W54" s="35"/>
      <c r="X54" s="37">
        <f t="shared" si="71"/>
        <v>0</v>
      </c>
      <c r="Y54" s="37">
        <f t="shared" si="71"/>
        <v>0</v>
      </c>
      <c r="Z54" s="37">
        <f t="shared" si="71"/>
        <v>0</v>
      </c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>
        <v>0</v>
      </c>
      <c r="AN54" s="35">
        <v>0</v>
      </c>
      <c r="AO54" s="35">
        <v>0</v>
      </c>
      <c r="AP54" s="37">
        <f t="shared" si="72"/>
        <v>0</v>
      </c>
      <c r="AQ54" s="37">
        <f t="shared" si="72"/>
        <v>0</v>
      </c>
      <c r="AR54" s="37">
        <f t="shared" si="72"/>
        <v>0</v>
      </c>
      <c r="AS54" s="35"/>
      <c r="AT54" s="35"/>
      <c r="AU54" s="35"/>
      <c r="AV54" s="35"/>
      <c r="AW54" s="35"/>
      <c r="AX54" s="35"/>
      <c r="AY54" s="35"/>
      <c r="AZ54" s="35">
        <f t="shared" si="73"/>
        <v>0</v>
      </c>
      <c r="BA54" s="35">
        <f t="shared" si="73"/>
        <v>0</v>
      </c>
      <c r="BB54" s="35">
        <f t="shared" si="74"/>
        <v>0</v>
      </c>
      <c r="BC54" s="37">
        <f t="shared" si="75"/>
        <v>0</v>
      </c>
      <c r="BD54" s="37">
        <f t="shared" si="75"/>
        <v>0</v>
      </c>
      <c r="BE54" s="37">
        <f t="shared" si="75"/>
        <v>0</v>
      </c>
      <c r="BF54" s="34" t="s">
        <v>156</v>
      </c>
      <c r="BH54" s="2"/>
      <c r="BI54" s="2"/>
      <c r="BL54" s="2"/>
      <c r="BM54" s="2"/>
    </row>
    <row r="55" spans="1:69">
      <c r="A55" s="33" t="s">
        <v>157</v>
      </c>
      <c r="B55" s="34" t="s">
        <v>158</v>
      </c>
      <c r="C55" s="35">
        <v>0</v>
      </c>
      <c r="D55" s="35">
        <v>0</v>
      </c>
      <c r="E55" s="35">
        <v>0</v>
      </c>
      <c r="F55" s="35">
        <f t="shared" si="70"/>
        <v>0</v>
      </c>
      <c r="G55" s="35">
        <f t="shared" si="70"/>
        <v>0</v>
      </c>
      <c r="H55" s="35">
        <f t="shared" si="70"/>
        <v>0</v>
      </c>
      <c r="I55" s="35">
        <f t="shared" si="70"/>
        <v>0</v>
      </c>
      <c r="J55" s="35">
        <f t="shared" si="70"/>
        <v>0</v>
      </c>
      <c r="K55" s="35">
        <f t="shared" si="70"/>
        <v>0</v>
      </c>
      <c r="L55" s="35">
        <f t="shared" si="70"/>
        <v>0</v>
      </c>
      <c r="M55" s="35">
        <f t="shared" si="70"/>
        <v>0</v>
      </c>
      <c r="N55" s="35">
        <f t="shared" si="70"/>
        <v>0</v>
      </c>
      <c r="O55" s="35"/>
      <c r="P55" s="35"/>
      <c r="Q55" s="35"/>
      <c r="R55" s="35"/>
      <c r="S55" s="35"/>
      <c r="T55" s="35"/>
      <c r="U55" s="35"/>
      <c r="V55" s="35"/>
      <c r="W55" s="35"/>
      <c r="X55" s="37">
        <f t="shared" si="71"/>
        <v>0</v>
      </c>
      <c r="Y55" s="37">
        <f t="shared" si="71"/>
        <v>0</v>
      </c>
      <c r="Z55" s="37">
        <f t="shared" si="71"/>
        <v>0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>
        <v>0</v>
      </c>
      <c r="AN55" s="35">
        <v>0</v>
      </c>
      <c r="AO55" s="35">
        <v>0</v>
      </c>
      <c r="AP55" s="37">
        <f t="shared" si="72"/>
        <v>0</v>
      </c>
      <c r="AQ55" s="37">
        <f t="shared" si="72"/>
        <v>0</v>
      </c>
      <c r="AR55" s="37">
        <f t="shared" si="72"/>
        <v>0</v>
      </c>
      <c r="AS55" s="35"/>
      <c r="AT55" s="35"/>
      <c r="AU55" s="35"/>
      <c r="AV55" s="35"/>
      <c r="AW55" s="35"/>
      <c r="AX55" s="35"/>
      <c r="AY55" s="35"/>
      <c r="AZ55" s="35">
        <f t="shared" si="73"/>
        <v>0</v>
      </c>
      <c r="BA55" s="35">
        <f t="shared" si="73"/>
        <v>0</v>
      </c>
      <c r="BB55" s="35">
        <f t="shared" si="74"/>
        <v>0</v>
      </c>
      <c r="BC55" s="37">
        <f t="shared" si="75"/>
        <v>0</v>
      </c>
      <c r="BD55" s="37">
        <f t="shared" si="75"/>
        <v>0</v>
      </c>
      <c r="BE55" s="37">
        <f t="shared" si="75"/>
        <v>0</v>
      </c>
      <c r="BF55" s="34" t="s">
        <v>158</v>
      </c>
      <c r="BH55" s="2"/>
      <c r="BI55" s="2"/>
      <c r="BL55" s="2"/>
      <c r="BM55" s="2"/>
    </row>
    <row r="56" spans="1:69">
      <c r="A56" s="33" t="s">
        <v>159</v>
      </c>
      <c r="B56" s="34" t="s">
        <v>160</v>
      </c>
      <c r="C56" s="35">
        <v>0</v>
      </c>
      <c r="D56" s="35">
        <v>0</v>
      </c>
      <c r="E56" s="35">
        <v>0</v>
      </c>
      <c r="F56" s="35">
        <f t="shared" si="70"/>
        <v>0</v>
      </c>
      <c r="G56" s="35">
        <f t="shared" si="70"/>
        <v>0</v>
      </c>
      <c r="H56" s="35">
        <f t="shared" si="70"/>
        <v>0</v>
      </c>
      <c r="I56" s="35">
        <f t="shared" si="70"/>
        <v>0</v>
      </c>
      <c r="J56" s="35">
        <f t="shared" si="70"/>
        <v>0</v>
      </c>
      <c r="K56" s="35">
        <f t="shared" si="70"/>
        <v>0</v>
      </c>
      <c r="L56" s="35">
        <f t="shared" si="70"/>
        <v>0</v>
      </c>
      <c r="M56" s="35">
        <f t="shared" si="70"/>
        <v>0</v>
      </c>
      <c r="N56" s="35">
        <f t="shared" si="70"/>
        <v>0</v>
      </c>
      <c r="O56" s="35"/>
      <c r="P56" s="35"/>
      <c r="Q56" s="35"/>
      <c r="R56" s="35"/>
      <c r="S56" s="35"/>
      <c r="T56" s="35"/>
      <c r="U56" s="35"/>
      <c r="V56" s="35"/>
      <c r="W56" s="35"/>
      <c r="X56" s="37">
        <f t="shared" si="71"/>
        <v>0</v>
      </c>
      <c r="Y56" s="37">
        <f t="shared" si="71"/>
        <v>0</v>
      </c>
      <c r="Z56" s="37">
        <f t="shared" si="71"/>
        <v>0</v>
      </c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>
        <v>0</v>
      </c>
      <c r="AN56" s="35">
        <v>0</v>
      </c>
      <c r="AO56" s="35">
        <v>0</v>
      </c>
      <c r="AP56" s="37">
        <f t="shared" si="72"/>
        <v>0</v>
      </c>
      <c r="AQ56" s="37">
        <f t="shared" si="72"/>
        <v>0</v>
      </c>
      <c r="AR56" s="37">
        <f t="shared" si="72"/>
        <v>0</v>
      </c>
      <c r="AS56" s="35"/>
      <c r="AT56" s="35"/>
      <c r="AU56" s="35"/>
      <c r="AV56" s="35"/>
      <c r="AW56" s="35"/>
      <c r="AX56" s="35"/>
      <c r="AY56" s="35"/>
      <c r="AZ56" s="35">
        <f t="shared" si="73"/>
        <v>0</v>
      </c>
      <c r="BA56" s="35">
        <f t="shared" si="73"/>
        <v>0</v>
      </c>
      <c r="BB56" s="35">
        <f t="shared" si="74"/>
        <v>0</v>
      </c>
      <c r="BC56" s="37">
        <f t="shared" si="75"/>
        <v>0</v>
      </c>
      <c r="BD56" s="37">
        <f t="shared" si="75"/>
        <v>0</v>
      </c>
      <c r="BE56" s="37">
        <f t="shared" si="75"/>
        <v>0</v>
      </c>
      <c r="BF56" s="34" t="s">
        <v>160</v>
      </c>
      <c r="BH56" s="2"/>
      <c r="BI56" s="2"/>
      <c r="BL56" s="2"/>
      <c r="BM56" s="2"/>
    </row>
    <row r="57" spans="1:69" s="32" customFormat="1">
      <c r="A57" s="39" t="s">
        <v>167</v>
      </c>
      <c r="B57" s="62" t="s">
        <v>168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/>
      <c r="K57" s="35"/>
      <c r="L57" s="35">
        <f>SUM(L58:L59)</f>
        <v>2500</v>
      </c>
      <c r="M57" s="35">
        <f>SUM(M58:M59)</f>
        <v>2500</v>
      </c>
      <c r="N57" s="35">
        <f>SUM(N58:N59)</f>
        <v>0</v>
      </c>
      <c r="O57" s="35"/>
      <c r="P57" s="35"/>
      <c r="Q57" s="35"/>
      <c r="R57" s="35"/>
      <c r="S57" s="35"/>
      <c r="T57" s="35"/>
      <c r="U57" s="35"/>
      <c r="V57" s="35"/>
      <c r="W57" s="35"/>
      <c r="X57" s="37">
        <f>SUM(R57,U57)</f>
        <v>0</v>
      </c>
      <c r="Y57" s="37">
        <f>SUM(S57,V57)</f>
        <v>0</v>
      </c>
      <c r="Z57" s="37">
        <f>SUM(T57,W57)</f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7">
        <f t="shared" si="72"/>
        <v>0</v>
      </c>
      <c r="AQ57" s="37">
        <f t="shared" si="72"/>
        <v>0</v>
      </c>
      <c r="AR57" s="37">
        <f t="shared" si="72"/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43"/>
      <c r="AY57" s="35">
        <v>0</v>
      </c>
      <c r="AZ57" s="35">
        <f t="shared" si="73"/>
        <v>0</v>
      </c>
      <c r="BA57" s="35">
        <f t="shared" si="73"/>
        <v>0</v>
      </c>
      <c r="BB57" s="35">
        <f t="shared" si="74"/>
        <v>0</v>
      </c>
      <c r="BC57" s="57">
        <f>SUM(F57,X57,AP57,AZ57)</f>
        <v>0</v>
      </c>
      <c r="BD57" s="57">
        <f>SUM(G57,Y57,AQ57,BA57)</f>
        <v>0</v>
      </c>
      <c r="BE57" s="57">
        <f>SUM(H57,Z57,AR57,BB57)</f>
        <v>0</v>
      </c>
      <c r="BF57" s="62" t="s">
        <v>168</v>
      </c>
    </row>
    <row r="58" spans="1:69" s="32" customFormat="1" ht="21.75" customHeight="1">
      <c r="A58" s="67" t="s">
        <v>169</v>
      </c>
      <c r="B58" s="67"/>
      <c r="C58" s="58">
        <f t="shared" ref="C58:BE58" si="76">SUM(C8,C11,C17,C22,C37,C40:C41,C43,C46:C49,C57:C57)</f>
        <v>1692413</v>
      </c>
      <c r="D58" s="58">
        <f t="shared" si="76"/>
        <v>1692413</v>
      </c>
      <c r="E58" s="58">
        <f t="shared" si="76"/>
        <v>2683647</v>
      </c>
      <c r="F58" s="58">
        <f t="shared" si="76"/>
        <v>1692413</v>
      </c>
      <c r="G58" s="58">
        <f t="shared" si="76"/>
        <v>1692413</v>
      </c>
      <c r="H58" s="58">
        <f t="shared" si="76"/>
        <v>2683647</v>
      </c>
      <c r="I58" s="58">
        <f>SUM(I8,I11,I17,I22,I37,I40:I41,I43,I46:I49,I57:I57)</f>
        <v>2500</v>
      </c>
      <c r="J58" s="58">
        <f>SUM(J8,J11,J17,J22,J37,J40:J41,J43,J46:J49,J57:J57)</f>
        <v>2500</v>
      </c>
      <c r="K58" s="58">
        <f>SUM(K8,K11,K17,K22,K37,K40:K41,K43,K46:K49,K57:K57)</f>
        <v>0</v>
      </c>
      <c r="L58" s="35">
        <f>SUM(I58)</f>
        <v>2500</v>
      </c>
      <c r="M58" s="35">
        <f>SUM(J58)</f>
        <v>2500</v>
      </c>
      <c r="N58" s="35">
        <f>SUM(K58)</f>
        <v>0</v>
      </c>
      <c r="O58" s="58">
        <f t="shared" si="76"/>
        <v>474419</v>
      </c>
      <c r="P58" s="58">
        <f t="shared" si="76"/>
        <v>534442</v>
      </c>
      <c r="Q58" s="58">
        <f t="shared" si="76"/>
        <v>201274</v>
      </c>
      <c r="R58" s="58">
        <f t="shared" si="76"/>
        <v>56000</v>
      </c>
      <c r="S58" s="58">
        <f t="shared" si="76"/>
        <v>56000</v>
      </c>
      <c r="T58" s="58">
        <f t="shared" si="76"/>
        <v>0</v>
      </c>
      <c r="U58" s="58">
        <f t="shared" si="76"/>
        <v>21500</v>
      </c>
      <c r="V58" s="58">
        <f t="shared" si="76"/>
        <v>27000</v>
      </c>
      <c r="W58" s="58">
        <f t="shared" si="76"/>
        <v>0</v>
      </c>
      <c r="X58" s="58">
        <f t="shared" si="76"/>
        <v>551919</v>
      </c>
      <c r="Y58" s="58">
        <f t="shared" si="76"/>
        <v>617442</v>
      </c>
      <c r="Z58" s="58">
        <f t="shared" si="76"/>
        <v>201274</v>
      </c>
      <c r="AA58" s="58">
        <f t="shared" si="76"/>
        <v>0</v>
      </c>
      <c r="AB58" s="58">
        <f t="shared" si="76"/>
        <v>0</v>
      </c>
      <c r="AC58" s="58">
        <f t="shared" si="76"/>
        <v>0</v>
      </c>
      <c r="AD58" s="58">
        <f t="shared" si="76"/>
        <v>351</v>
      </c>
      <c r="AE58" s="58">
        <f t="shared" si="76"/>
        <v>351</v>
      </c>
      <c r="AF58" s="58">
        <f t="shared" si="76"/>
        <v>0</v>
      </c>
      <c r="AG58" s="58">
        <f t="shared" si="76"/>
        <v>152925</v>
      </c>
      <c r="AH58" s="58">
        <f t="shared" si="76"/>
        <v>152925</v>
      </c>
      <c r="AI58" s="58">
        <f t="shared" si="76"/>
        <v>0</v>
      </c>
      <c r="AJ58" s="58">
        <f>SUM(AJ8,AJ11,AJ17,AJ22,AJ37,AJ40:AJ41,AJ43,AJ46:AJ49,AJ57:AJ57)</f>
        <v>215775</v>
      </c>
      <c r="AK58" s="58">
        <f>SUM(AK8,AK11,AK17,AK22,AK37,AK40:AK41,AK43,AK46:AK49,AK57:AK57)</f>
        <v>215775</v>
      </c>
      <c r="AL58" s="58">
        <f>SUM(AL8,AL11,AL17,AL22,AL37,AL40:AL41,AL43,AL46:AL49,AL57:AL57)</f>
        <v>0</v>
      </c>
      <c r="AM58" s="58">
        <f t="shared" si="76"/>
        <v>10260</v>
      </c>
      <c r="AN58" s="58">
        <f t="shared" si="76"/>
        <v>10260</v>
      </c>
      <c r="AO58" s="58">
        <f t="shared" si="76"/>
        <v>11600</v>
      </c>
      <c r="AP58" s="58">
        <f t="shared" si="76"/>
        <v>379311</v>
      </c>
      <c r="AQ58" s="58">
        <f t="shared" si="76"/>
        <v>379311</v>
      </c>
      <c r="AR58" s="58">
        <f t="shared" si="76"/>
        <v>11600</v>
      </c>
      <c r="AS58" s="58">
        <f t="shared" si="76"/>
        <v>20000</v>
      </c>
      <c r="AT58" s="58">
        <f t="shared" si="76"/>
        <v>20291</v>
      </c>
      <c r="AU58" s="58">
        <f t="shared" si="76"/>
        <v>30000</v>
      </c>
      <c r="AV58" s="58">
        <f t="shared" si="76"/>
        <v>0</v>
      </c>
      <c r="AW58" s="58">
        <f t="shared" si="76"/>
        <v>0</v>
      </c>
      <c r="AX58" s="58">
        <f t="shared" si="76"/>
        <v>0</v>
      </c>
      <c r="AY58" s="58">
        <f t="shared" si="76"/>
        <v>0</v>
      </c>
      <c r="AZ58" s="58">
        <f t="shared" si="76"/>
        <v>20000</v>
      </c>
      <c r="BA58" s="58">
        <f t="shared" si="76"/>
        <v>20291</v>
      </c>
      <c r="BB58" s="58">
        <f t="shared" si="76"/>
        <v>30000</v>
      </c>
      <c r="BC58" s="58">
        <f t="shared" si="76"/>
        <v>2646143</v>
      </c>
      <c r="BD58" s="58">
        <f t="shared" si="76"/>
        <v>2711957</v>
      </c>
      <c r="BE58" s="58">
        <f t="shared" si="76"/>
        <v>2926521</v>
      </c>
      <c r="BF58" s="67"/>
    </row>
    <row r="59" spans="1:69">
      <c r="I59" s="68"/>
      <c r="J59" s="68"/>
      <c r="K59" s="68"/>
      <c r="L59" s="68"/>
      <c r="M59" s="68"/>
      <c r="N59" s="68"/>
    </row>
    <row r="60" spans="1:69">
      <c r="I60" s="68"/>
      <c r="J60" s="68"/>
      <c r="K60" s="68"/>
      <c r="L60" s="68"/>
      <c r="M60" s="68"/>
      <c r="N60" s="68"/>
      <c r="BN60" s="61"/>
      <c r="BO60" s="61"/>
      <c r="BP60" s="61"/>
      <c r="BQ60" s="61"/>
    </row>
    <row r="61" spans="1:69">
      <c r="I61" s="68"/>
      <c r="J61" s="68"/>
      <c r="K61" s="68"/>
      <c r="L61" s="68"/>
      <c r="M61" s="68"/>
      <c r="N61" s="68"/>
    </row>
    <row r="62" spans="1:69">
      <c r="H62" s="2"/>
      <c r="K62" s="2"/>
      <c r="N62" s="2"/>
      <c r="BN62" s="61"/>
      <c r="BO62" s="61"/>
      <c r="BP62" s="61"/>
      <c r="BQ62" s="61"/>
    </row>
    <row r="63" spans="1:69" ht="72" customHeight="1">
      <c r="I63" s="63"/>
      <c r="J63" s="63"/>
      <c r="K63" s="69"/>
      <c r="L63" s="63"/>
      <c r="M63" s="63"/>
      <c r="N63" s="69"/>
    </row>
  </sheetData>
  <mergeCells count="8">
    <mergeCell ref="I5:K6"/>
    <mergeCell ref="O5:W5"/>
    <mergeCell ref="AP5:AR5"/>
    <mergeCell ref="AS5:AY6"/>
    <mergeCell ref="AZ5:BB5"/>
    <mergeCell ref="X6:Z6"/>
    <mergeCell ref="AP6:AR6"/>
    <mergeCell ref="AZ6:BB6"/>
  </mergeCells>
  <pageMargins left="0.19685039370078741" right="0.19685039370078741" top="0.15748031496062992" bottom="0.15748031496062992" header="0.15748031496062992" footer="0.15748031496062992"/>
  <pageSetup paperSize="8" scale="9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81"/>
  <sheetViews>
    <sheetView showZeros="0" tabSelected="1" workbookViewId="0">
      <pane xSplit="2" ySplit="7" topLeftCell="BH53" activePane="bottomRight" state="frozen"/>
      <selection pane="topRight" activeCell="C1" sqref="C1"/>
      <selection pane="bottomLeft" activeCell="A8" sqref="A8"/>
      <selection pane="bottomRight" activeCell="N43" sqref="N43"/>
    </sheetView>
  </sheetViews>
  <sheetFormatPr defaultColWidth="5.7109375" defaultRowHeight="12.75"/>
  <cols>
    <col min="1" max="1" width="29.42578125" style="2" customWidth="1"/>
    <col min="2" max="2" width="4.7109375" style="2" customWidth="1"/>
    <col min="3" max="4" width="9.7109375" style="2" customWidth="1"/>
    <col min="5" max="5" width="9.140625" style="3" customWidth="1"/>
    <col min="6" max="6" width="8.85546875" style="2" customWidth="1"/>
    <col min="7" max="7" width="9.7109375" style="2" customWidth="1"/>
    <col min="8" max="8" width="10.42578125" style="3" customWidth="1"/>
    <col min="9" max="9" width="9.140625" style="2" customWidth="1"/>
    <col min="10" max="10" width="9.85546875" style="2" customWidth="1"/>
    <col min="11" max="11" width="9.5703125" style="3" customWidth="1"/>
    <col min="12" max="12" width="9.28515625" style="2" customWidth="1"/>
    <col min="13" max="13" width="9.140625" style="2" customWidth="1"/>
    <col min="14" max="14" width="10.5703125" style="2" customWidth="1"/>
    <col min="15" max="15" width="7.7109375" style="2" customWidth="1"/>
    <col min="16" max="16" width="9.140625" style="2" customWidth="1"/>
    <col min="17" max="17" width="8.7109375" style="2" customWidth="1"/>
    <col min="18" max="18" width="9.42578125" style="2" customWidth="1"/>
    <col min="19" max="19" width="10.28515625" style="2" customWidth="1"/>
    <col min="20" max="20" width="10.140625" style="2" customWidth="1"/>
    <col min="21" max="22" width="8.140625" style="2" customWidth="1"/>
    <col min="23" max="23" width="7.85546875" style="3" customWidth="1"/>
    <col min="24" max="24" width="9.140625" style="2" customWidth="1"/>
    <col min="25" max="25" width="9.7109375" style="2" customWidth="1"/>
    <col min="26" max="26" width="9.140625" style="3" customWidth="1"/>
    <col min="27" max="27" width="10" style="2" customWidth="1"/>
    <col min="28" max="28" width="10.28515625" style="2" customWidth="1"/>
    <col min="29" max="29" width="9.42578125" style="3" customWidth="1"/>
    <col min="30" max="30" width="9.7109375" style="2" customWidth="1"/>
    <col min="31" max="31" width="9.42578125" style="2" customWidth="1"/>
    <col min="32" max="32" width="10.5703125" style="2" customWidth="1"/>
    <col min="33" max="35" width="8.85546875" style="2" customWidth="1"/>
    <col min="36" max="36" width="9.5703125" style="2" customWidth="1"/>
    <col min="37" max="37" width="8.42578125" style="2" customWidth="1"/>
    <col min="38" max="38" width="8.28515625" style="2" customWidth="1"/>
    <col min="39" max="39" width="9.28515625" style="2" customWidth="1"/>
    <col min="40" max="40" width="9.85546875" style="2" customWidth="1"/>
    <col min="41" max="41" width="10.42578125" style="2" customWidth="1"/>
    <col min="42" max="42" width="9.5703125" style="2" customWidth="1"/>
    <col min="43" max="43" width="10.140625" style="2" customWidth="1"/>
    <col min="44" max="44" width="10.28515625" style="3" customWidth="1"/>
    <col min="45" max="45" width="10" style="2" customWidth="1"/>
    <col min="46" max="46" width="9.140625" style="2" customWidth="1"/>
    <col min="47" max="47" width="9.28515625" style="3" customWidth="1"/>
    <col min="48" max="49" width="9.42578125" style="2" customWidth="1"/>
    <col min="50" max="50" width="11" style="3" customWidth="1"/>
    <col min="51" max="51" width="9.28515625" style="2" customWidth="1"/>
    <col min="52" max="52" width="9.7109375" style="2" customWidth="1"/>
    <col min="53" max="53" width="10.5703125" style="3" customWidth="1"/>
    <col min="54" max="54" width="10.28515625" style="2" customWidth="1"/>
    <col min="55" max="55" width="9.85546875" style="2" customWidth="1"/>
    <col min="56" max="56" width="9" style="3" customWidth="1"/>
    <col min="57" max="57" width="9.85546875" style="2" customWidth="1"/>
    <col min="58" max="58" width="9.42578125" style="2" customWidth="1"/>
    <col min="59" max="59" width="11" style="3" customWidth="1"/>
    <col min="60" max="60" width="9.28515625" style="2" customWidth="1"/>
    <col min="61" max="61" width="9.5703125" style="2" customWidth="1"/>
    <col min="62" max="62" width="9" style="2" customWidth="1"/>
    <col min="63" max="63" width="9.7109375" style="2" customWidth="1"/>
    <col min="64" max="64" width="10" style="2" customWidth="1"/>
    <col min="65" max="65" width="9.42578125" style="2" customWidth="1"/>
    <col min="66" max="66" width="10.28515625" style="2" customWidth="1"/>
    <col min="67" max="67" width="9.5703125" style="2" customWidth="1"/>
    <col min="68" max="68" width="9" style="2" customWidth="1"/>
    <col min="69" max="69" width="10.5703125" style="2" customWidth="1"/>
    <col min="70" max="70" width="11.28515625" style="2" customWidth="1"/>
    <col min="71" max="71" width="9.7109375" style="2" customWidth="1"/>
    <col min="72" max="72" width="9.5703125" style="2" customWidth="1"/>
    <col min="73" max="73" width="10.5703125" style="2" customWidth="1"/>
    <col min="74" max="74" width="9.85546875" style="3" customWidth="1"/>
    <col min="75" max="75" width="10.5703125" style="2" bestFit="1" customWidth="1"/>
    <col min="76" max="76" width="10.140625" style="2" bestFit="1" customWidth="1"/>
    <col min="77" max="77" width="10.140625" style="3" bestFit="1" customWidth="1"/>
    <col min="78" max="78" width="8.85546875" style="2" customWidth="1"/>
    <col min="79" max="79" width="9.140625" style="2" bestFit="1" customWidth="1"/>
    <col min="80" max="80" width="10.140625" style="2" customWidth="1"/>
    <col min="81" max="81" width="10" style="2" customWidth="1"/>
    <col min="82" max="82" width="8.28515625" style="2" customWidth="1"/>
    <col min="83" max="83" width="10.5703125" style="2" customWidth="1"/>
    <col min="84" max="84" width="10.140625" style="2" customWidth="1"/>
    <col min="85" max="85" width="9.7109375" style="2" customWidth="1"/>
    <col min="86" max="86" width="10.140625" style="2" customWidth="1"/>
    <col min="87" max="87" width="9" style="2" customWidth="1"/>
    <col min="88" max="88" width="9.28515625" style="2" customWidth="1"/>
    <col min="89" max="89" width="10.140625" style="2" customWidth="1"/>
    <col min="90" max="90" width="10.7109375" style="2" customWidth="1"/>
    <col min="91" max="91" width="9.85546875" style="2" customWidth="1"/>
    <col min="92" max="92" width="10" style="2" customWidth="1"/>
    <col min="93" max="93" width="9.140625" style="2" customWidth="1"/>
    <col min="94" max="94" width="10.28515625" style="2" customWidth="1"/>
    <col min="95" max="95" width="9.85546875" style="3" customWidth="1"/>
    <col min="96" max="96" width="10.7109375" style="2" customWidth="1"/>
    <col min="97" max="97" width="9.42578125" style="2" customWidth="1"/>
    <col min="98" max="98" width="9.85546875" style="3" customWidth="1"/>
    <col min="99" max="99" width="10.7109375" style="2" customWidth="1"/>
    <col min="100" max="100" width="10.140625" style="2" customWidth="1"/>
    <col min="101" max="101" width="9" style="3" customWidth="1"/>
    <col min="102" max="102" width="11.140625" style="2" customWidth="1"/>
    <col min="103" max="103" width="10.28515625" style="2" customWidth="1"/>
    <col min="104" max="104" width="10.42578125" style="3" customWidth="1"/>
    <col min="105" max="105" width="9.42578125" style="2" customWidth="1"/>
    <col min="106" max="106" width="9" style="2" customWidth="1"/>
    <col min="107" max="107" width="8.42578125" style="2" customWidth="1"/>
    <col min="108" max="108" width="9.7109375" style="2" customWidth="1"/>
    <col min="109" max="109" width="8.7109375" style="2" customWidth="1"/>
    <col min="110" max="110" width="10.85546875" style="3" customWidth="1"/>
    <col min="111" max="111" width="9.7109375" style="2" customWidth="1"/>
    <col min="112" max="112" width="11.42578125" style="2" customWidth="1"/>
    <col min="113" max="113" width="9.42578125" style="3" customWidth="1"/>
    <col min="114" max="114" width="10.28515625" style="2" customWidth="1"/>
    <col min="115" max="115" width="10.42578125" style="2" customWidth="1"/>
    <col min="116" max="116" width="9.140625" style="3" bestFit="1" customWidth="1"/>
    <col min="117" max="117" width="9.140625" style="2" bestFit="1" customWidth="1"/>
    <col min="118" max="118" width="10" style="2" customWidth="1"/>
    <col min="119" max="119" width="9.85546875" style="3" customWidth="1"/>
    <col min="120" max="120" width="9.5703125" style="2" customWidth="1"/>
    <col min="121" max="121" width="10.85546875" style="2" customWidth="1"/>
    <col min="122" max="122" width="10.28515625" style="3" customWidth="1"/>
    <col min="123" max="123" width="9.5703125" style="2" customWidth="1"/>
    <col min="124" max="124" width="9.28515625" style="2" customWidth="1"/>
    <col min="125" max="125" width="10" style="2" customWidth="1"/>
    <col min="126" max="126" width="9" style="2" customWidth="1"/>
    <col min="127" max="127" width="10.42578125" style="2" customWidth="1"/>
    <col min="128" max="128" width="9.85546875" style="2" customWidth="1"/>
    <col min="129" max="129" width="10" style="2" customWidth="1"/>
    <col min="130" max="130" width="8.28515625" style="2" customWidth="1"/>
    <col min="131" max="131" width="11.5703125" style="2" customWidth="1"/>
    <col min="132" max="132" width="9.140625" style="2" bestFit="1" customWidth="1"/>
    <col min="133" max="133" width="10" style="2" customWidth="1"/>
    <col min="134" max="134" width="11.28515625" style="2" customWidth="1"/>
    <col min="135" max="136" width="10.140625" style="2" bestFit="1" customWidth="1"/>
    <col min="137" max="137" width="12.28515625" style="2" customWidth="1"/>
    <col min="138" max="139" width="5.7109375" style="2"/>
    <col min="140" max="140" width="10.28515625" style="2" bestFit="1" customWidth="1"/>
    <col min="141" max="146" width="5.7109375" style="2"/>
    <col min="147" max="147" width="22" style="2" customWidth="1"/>
    <col min="148" max="148" width="16" style="61" customWidth="1"/>
    <col min="149" max="149" width="7.140625" style="2" bestFit="1" customWidth="1"/>
    <col min="150" max="150" width="9.28515625" style="2" bestFit="1" customWidth="1"/>
    <col min="151" max="211" width="5.7109375" style="2"/>
    <col min="212" max="212" width="29.42578125" style="2" customWidth="1"/>
    <col min="213" max="213" width="4.7109375" style="2" customWidth="1"/>
    <col min="214" max="215" width="9.7109375" style="2" customWidth="1"/>
    <col min="216" max="216" width="9.42578125" style="2" customWidth="1"/>
    <col min="217" max="217" width="9.140625" style="2" customWidth="1"/>
    <col min="218" max="218" width="8.85546875" style="2" customWidth="1"/>
    <col min="219" max="219" width="9.7109375" style="2" customWidth="1"/>
    <col min="220" max="220" width="8.140625" style="2" customWidth="1"/>
    <col min="221" max="221" width="10.42578125" style="2" customWidth="1"/>
    <col min="222" max="222" width="9.140625" style="2" customWidth="1"/>
    <col min="223" max="223" width="9.85546875" style="2" customWidth="1"/>
    <col min="224" max="224" width="9.42578125" style="2" customWidth="1"/>
    <col min="225" max="225" width="9.5703125" style="2" customWidth="1"/>
    <col min="226" max="226" width="9.28515625" style="2" customWidth="1"/>
    <col min="227" max="227" width="9.140625" style="2" customWidth="1"/>
    <col min="228" max="228" width="9.28515625" style="2" bestFit="1" customWidth="1"/>
    <col min="229" max="229" width="10.5703125" style="2" customWidth="1"/>
    <col min="230" max="230" width="7.7109375" style="2" customWidth="1"/>
    <col min="231" max="231" width="9.140625" style="2" customWidth="1"/>
    <col min="232" max="232" width="7.85546875" style="2" customWidth="1"/>
    <col min="233" max="233" width="8.7109375" style="2" customWidth="1"/>
    <col min="234" max="234" width="9.42578125" style="2" customWidth="1"/>
    <col min="235" max="235" width="10.28515625" style="2" customWidth="1"/>
    <col min="236" max="236" width="9.85546875" style="2" customWidth="1"/>
    <col min="237" max="237" width="10.140625" style="2" customWidth="1"/>
    <col min="238" max="239" width="8.140625" style="2" customWidth="1"/>
    <col min="240" max="241" width="7.85546875" style="2" customWidth="1"/>
    <col min="242" max="242" width="9.140625" style="2" customWidth="1"/>
    <col min="243" max="243" width="9.7109375" style="2" customWidth="1"/>
    <col min="244" max="244" width="8.28515625" style="2" customWidth="1"/>
    <col min="245" max="245" width="9.140625" style="2" customWidth="1"/>
    <col min="246" max="246" width="10" style="2" customWidth="1"/>
    <col min="247" max="247" width="10.28515625" style="2" customWidth="1"/>
    <col min="248" max="248" width="9.85546875" style="2" customWidth="1"/>
    <col min="249" max="249" width="9.42578125" style="2" customWidth="1"/>
    <col min="250" max="250" width="9.7109375" style="2" customWidth="1"/>
    <col min="251" max="251" width="9.42578125" style="2" customWidth="1"/>
    <col min="252" max="252" width="9.28515625" style="2" customWidth="1"/>
    <col min="253" max="253" width="10.5703125" style="2" customWidth="1"/>
    <col min="254" max="255" width="8.85546875" style="2" customWidth="1"/>
    <col min="256" max="256" width="8.28515625" style="2" customWidth="1"/>
    <col min="257" max="257" width="8.85546875" style="2" customWidth="1"/>
    <col min="258" max="258" width="9.5703125" style="2" customWidth="1"/>
    <col min="259" max="259" width="8.42578125" style="2" customWidth="1"/>
    <col min="260" max="260" width="9.5703125" style="2" customWidth="1"/>
    <col min="261" max="261" width="8.28515625" style="2" customWidth="1"/>
    <col min="262" max="262" width="9.28515625" style="2" customWidth="1"/>
    <col min="263" max="263" width="9.85546875" style="2" customWidth="1"/>
    <col min="264" max="264" width="10.28515625" style="2" customWidth="1"/>
    <col min="265" max="265" width="10.42578125" style="2" customWidth="1"/>
    <col min="266" max="266" width="9.5703125" style="2" customWidth="1"/>
    <col min="267" max="267" width="10.140625" style="2" customWidth="1"/>
    <col min="268" max="268" width="9.5703125" style="2" customWidth="1"/>
    <col min="269" max="269" width="10.28515625" style="2" customWidth="1"/>
    <col min="270" max="270" width="10" style="2" customWidth="1"/>
    <col min="271" max="271" width="9.140625" style="2" customWidth="1"/>
    <col min="272" max="272" width="10.5703125" style="2" customWidth="1"/>
    <col min="273" max="273" width="9.28515625" style="2" customWidth="1"/>
    <col min="274" max="275" width="9.42578125" style="2" customWidth="1"/>
    <col min="276" max="276" width="9" style="2" customWidth="1"/>
    <col min="277" max="277" width="11" style="2" customWidth="1"/>
    <col min="278" max="278" width="9.28515625" style="2" customWidth="1"/>
    <col min="279" max="279" width="9.7109375" style="2" customWidth="1"/>
    <col min="280" max="280" width="10.85546875" style="2" customWidth="1"/>
    <col min="281" max="281" width="10.5703125" style="2" customWidth="1"/>
    <col min="282" max="282" width="10.28515625" style="2" customWidth="1"/>
    <col min="283" max="283" width="9.85546875" style="2" customWidth="1"/>
    <col min="284" max="284" width="10.28515625" style="2" customWidth="1"/>
    <col min="285" max="285" width="9" style="2" customWidth="1"/>
    <col min="286" max="286" width="9.85546875" style="2" customWidth="1"/>
    <col min="287" max="287" width="9.42578125" style="2" customWidth="1"/>
    <col min="288" max="288" width="9.140625" style="2" customWidth="1"/>
    <col min="289" max="289" width="11" style="2" customWidth="1"/>
    <col min="290" max="290" width="9.28515625" style="2" customWidth="1"/>
    <col min="291" max="291" width="9.5703125" style="2" customWidth="1"/>
    <col min="292" max="292" width="10.42578125" style="2" customWidth="1"/>
    <col min="293" max="293" width="9" style="2" customWidth="1"/>
    <col min="294" max="294" width="9.7109375" style="2" customWidth="1"/>
    <col min="295" max="295" width="10" style="2" customWidth="1"/>
    <col min="296" max="296" width="10.7109375" style="2" customWidth="1"/>
    <col min="297" max="297" width="9.42578125" style="2" customWidth="1"/>
    <col min="298" max="298" width="10.28515625" style="2" customWidth="1"/>
    <col min="299" max="299" width="9.5703125" style="2" customWidth="1"/>
    <col min="300" max="300" width="10" style="2" customWidth="1"/>
    <col min="301" max="301" width="9" style="2" customWidth="1"/>
    <col min="302" max="302" width="10.5703125" style="2" customWidth="1"/>
    <col min="303" max="303" width="11.28515625" style="2" customWidth="1"/>
    <col min="304" max="304" width="10.5703125" style="2" customWidth="1"/>
    <col min="305" max="305" width="9.7109375" style="2" customWidth="1"/>
    <col min="306" max="306" width="9.5703125" style="2" customWidth="1"/>
    <col min="307" max="307" width="10.5703125" style="2" customWidth="1"/>
    <col min="308" max="308" width="10.42578125" style="2" customWidth="1"/>
    <col min="309" max="309" width="9.85546875" style="2" customWidth="1"/>
    <col min="310" max="310" width="10.5703125" style="2" bestFit="1" customWidth="1"/>
    <col min="311" max="313" width="10.140625" style="2" bestFit="1" customWidth="1"/>
    <col min="314" max="314" width="8.85546875" style="2" customWidth="1"/>
    <col min="315" max="315" width="9.140625" style="2" bestFit="1" customWidth="1"/>
    <col min="316" max="317" width="10.140625" style="2" customWidth="1"/>
    <col min="318" max="318" width="10" style="2" customWidth="1"/>
    <col min="319" max="319" width="8.28515625" style="2" customWidth="1"/>
    <col min="320" max="320" width="9" style="2" customWidth="1"/>
    <col min="321" max="321" width="10.5703125" style="2" customWidth="1"/>
    <col min="322" max="322" width="10.140625" style="2" customWidth="1"/>
    <col min="323" max="323" width="9.7109375" style="2" customWidth="1"/>
    <col min="324" max="324" width="9.140625" style="2" customWidth="1"/>
    <col min="325" max="325" width="10.140625" style="2" customWidth="1"/>
    <col min="326" max="326" width="9" style="2" customWidth="1"/>
    <col min="327" max="327" width="9.28515625" style="2" customWidth="1"/>
    <col min="328" max="328" width="11" style="2" customWidth="1"/>
    <col min="329" max="329" width="10.140625" style="2" customWidth="1"/>
    <col min="330" max="330" width="10.7109375" style="2" customWidth="1"/>
    <col min="331" max="331" width="9.85546875" style="2" customWidth="1"/>
    <col min="332" max="332" width="11" style="2" customWidth="1"/>
    <col min="333" max="333" width="10" style="2" customWidth="1"/>
    <col min="334" max="334" width="9.140625" style="2" customWidth="1"/>
    <col min="335" max="335" width="10.28515625" style="2" customWidth="1"/>
    <col min="336" max="336" width="10.5703125" style="2" customWidth="1"/>
    <col min="337" max="337" width="9.85546875" style="2" customWidth="1"/>
    <col min="338" max="338" width="10.7109375" style="2" customWidth="1"/>
    <col min="339" max="339" width="9.42578125" style="2" customWidth="1"/>
    <col min="340" max="340" width="10.42578125" style="2" customWidth="1"/>
    <col min="341" max="341" width="9.85546875" style="2" customWidth="1"/>
    <col min="342" max="342" width="10.7109375" style="2" customWidth="1"/>
    <col min="343" max="343" width="10.140625" style="2" customWidth="1"/>
    <col min="344" max="344" width="10.28515625" style="2" customWidth="1"/>
    <col min="345" max="345" width="9" style="2" customWidth="1"/>
    <col min="346" max="346" width="11.140625" style="2" customWidth="1"/>
    <col min="347" max="347" width="10.28515625" style="2" customWidth="1"/>
    <col min="348" max="348" width="9.42578125" style="2" customWidth="1"/>
    <col min="349" max="349" width="10.42578125" style="2" customWidth="1"/>
    <col min="350" max="350" width="9.42578125" style="2" customWidth="1"/>
    <col min="351" max="351" width="9" style="2" customWidth="1"/>
    <col min="352" max="352" width="10.28515625" style="2" customWidth="1"/>
    <col min="353" max="353" width="8.42578125" style="2" customWidth="1"/>
    <col min="354" max="354" width="9.7109375" style="2" customWidth="1"/>
    <col min="355" max="355" width="8.7109375" style="2" customWidth="1"/>
    <col min="356" max="356" width="9.42578125" style="2" customWidth="1"/>
    <col min="357" max="357" width="10.85546875" style="2" customWidth="1"/>
    <col min="358" max="358" width="9.7109375" style="2" customWidth="1"/>
    <col min="359" max="359" width="11.42578125" style="2" customWidth="1"/>
    <col min="360" max="360" width="11" style="2" customWidth="1"/>
    <col min="361" max="361" width="9.42578125" style="2" customWidth="1"/>
    <col min="362" max="362" width="10.28515625" style="2" customWidth="1"/>
    <col min="363" max="363" width="10.42578125" style="2" customWidth="1"/>
    <col min="364" max="364" width="10.28515625" style="2" customWidth="1"/>
    <col min="365" max="366" width="9.140625" style="2" bestFit="1" customWidth="1"/>
    <col min="367" max="367" width="10" style="2" customWidth="1"/>
    <col min="368" max="368" width="9.140625" style="2" customWidth="1"/>
    <col min="369" max="369" width="9.85546875" style="2" customWidth="1"/>
    <col min="370" max="370" width="9.5703125" style="2" customWidth="1"/>
    <col min="371" max="371" width="10.85546875" style="2" customWidth="1"/>
    <col min="372" max="372" width="10.5703125" style="2" customWidth="1"/>
    <col min="373" max="373" width="10.28515625" style="2" customWidth="1"/>
    <col min="374" max="374" width="9.5703125" style="2" customWidth="1"/>
    <col min="375" max="375" width="9.28515625" style="2" customWidth="1"/>
    <col min="376" max="376" width="10.28515625" style="2" customWidth="1"/>
    <col min="377" max="377" width="10" style="2" customWidth="1"/>
    <col min="378" max="378" width="9" style="2" customWidth="1"/>
    <col min="379" max="379" width="10.42578125" style="2" customWidth="1"/>
    <col min="380" max="381" width="9.85546875" style="2" customWidth="1"/>
    <col min="382" max="382" width="10" style="2" customWidth="1"/>
    <col min="383" max="383" width="8.28515625" style="2" customWidth="1"/>
    <col min="384" max="384" width="9.85546875" style="2" customWidth="1"/>
    <col min="385" max="385" width="11.5703125" style="2" customWidth="1"/>
    <col min="386" max="386" width="9.140625" style="2" bestFit="1" customWidth="1"/>
    <col min="387" max="387" width="10" style="2" customWidth="1"/>
    <col min="388" max="388" width="8" style="2" customWidth="1"/>
    <col min="389" max="389" width="11.28515625" style="2" customWidth="1"/>
    <col min="390" max="392" width="10.140625" style="2" bestFit="1" customWidth="1"/>
    <col min="393" max="393" width="12.28515625" style="2" customWidth="1"/>
    <col min="394" max="395" width="5.7109375" style="2"/>
    <col min="396" max="396" width="10.28515625" style="2" bestFit="1" customWidth="1"/>
    <col min="397" max="402" width="5.7109375" style="2"/>
    <col min="403" max="403" width="22" style="2" customWidth="1"/>
    <col min="404" max="404" width="16" style="2" customWidth="1"/>
    <col min="405" max="405" width="7.140625" style="2" bestFit="1" customWidth="1"/>
    <col min="406" max="406" width="9.28515625" style="2" bestFit="1" customWidth="1"/>
    <col min="407" max="467" width="5.7109375" style="2"/>
    <col min="468" max="468" width="29.42578125" style="2" customWidth="1"/>
    <col min="469" max="469" width="4.7109375" style="2" customWidth="1"/>
    <col min="470" max="471" width="9.7109375" style="2" customWidth="1"/>
    <col min="472" max="472" width="9.42578125" style="2" customWidth="1"/>
    <col min="473" max="473" width="9.140625" style="2" customWidth="1"/>
    <col min="474" max="474" width="8.85546875" style="2" customWidth="1"/>
    <col min="475" max="475" width="9.7109375" style="2" customWidth="1"/>
    <col min="476" max="476" width="8.140625" style="2" customWidth="1"/>
    <col min="477" max="477" width="10.42578125" style="2" customWidth="1"/>
    <col min="478" max="478" width="9.140625" style="2" customWidth="1"/>
    <col min="479" max="479" width="9.85546875" style="2" customWidth="1"/>
    <col min="480" max="480" width="9.42578125" style="2" customWidth="1"/>
    <col min="481" max="481" width="9.5703125" style="2" customWidth="1"/>
    <col min="482" max="482" width="9.28515625" style="2" customWidth="1"/>
    <col min="483" max="483" width="9.140625" style="2" customWidth="1"/>
    <col min="484" max="484" width="9.28515625" style="2" bestFit="1" customWidth="1"/>
    <col min="485" max="485" width="10.5703125" style="2" customWidth="1"/>
    <col min="486" max="486" width="7.7109375" style="2" customWidth="1"/>
    <col min="487" max="487" width="9.140625" style="2" customWidth="1"/>
    <col min="488" max="488" width="7.85546875" style="2" customWidth="1"/>
    <col min="489" max="489" width="8.7109375" style="2" customWidth="1"/>
    <col min="490" max="490" width="9.42578125" style="2" customWidth="1"/>
    <col min="491" max="491" width="10.28515625" style="2" customWidth="1"/>
    <col min="492" max="492" width="9.85546875" style="2" customWidth="1"/>
    <col min="493" max="493" width="10.140625" style="2" customWidth="1"/>
    <col min="494" max="495" width="8.140625" style="2" customWidth="1"/>
    <col min="496" max="497" width="7.85546875" style="2" customWidth="1"/>
    <col min="498" max="498" width="9.140625" style="2" customWidth="1"/>
    <col min="499" max="499" width="9.7109375" style="2" customWidth="1"/>
    <col min="500" max="500" width="8.28515625" style="2" customWidth="1"/>
    <col min="501" max="501" width="9.140625" style="2" customWidth="1"/>
    <col min="502" max="502" width="10" style="2" customWidth="1"/>
    <col min="503" max="503" width="10.28515625" style="2" customWidth="1"/>
    <col min="504" max="504" width="9.85546875" style="2" customWidth="1"/>
    <col min="505" max="505" width="9.42578125" style="2" customWidth="1"/>
    <col min="506" max="506" width="9.7109375" style="2" customWidth="1"/>
    <col min="507" max="507" width="9.42578125" style="2" customWidth="1"/>
    <col min="508" max="508" width="9.28515625" style="2" customWidth="1"/>
    <col min="509" max="509" width="10.5703125" style="2" customWidth="1"/>
    <col min="510" max="511" width="8.85546875" style="2" customWidth="1"/>
    <col min="512" max="512" width="8.28515625" style="2" customWidth="1"/>
    <col min="513" max="513" width="8.85546875" style="2" customWidth="1"/>
    <col min="514" max="514" width="9.5703125" style="2" customWidth="1"/>
    <col min="515" max="515" width="8.42578125" style="2" customWidth="1"/>
    <col min="516" max="516" width="9.5703125" style="2" customWidth="1"/>
    <col min="517" max="517" width="8.28515625" style="2" customWidth="1"/>
    <col min="518" max="518" width="9.28515625" style="2" customWidth="1"/>
    <col min="519" max="519" width="9.85546875" style="2" customWidth="1"/>
    <col min="520" max="520" width="10.28515625" style="2" customWidth="1"/>
    <col min="521" max="521" width="10.42578125" style="2" customWidth="1"/>
    <col min="522" max="522" width="9.5703125" style="2" customWidth="1"/>
    <col min="523" max="523" width="10.140625" style="2" customWidth="1"/>
    <col min="524" max="524" width="9.5703125" style="2" customWidth="1"/>
    <col min="525" max="525" width="10.28515625" style="2" customWidth="1"/>
    <col min="526" max="526" width="10" style="2" customWidth="1"/>
    <col min="527" max="527" width="9.140625" style="2" customWidth="1"/>
    <col min="528" max="528" width="10.5703125" style="2" customWidth="1"/>
    <col min="529" max="529" width="9.28515625" style="2" customWidth="1"/>
    <col min="530" max="531" width="9.42578125" style="2" customWidth="1"/>
    <col min="532" max="532" width="9" style="2" customWidth="1"/>
    <col min="533" max="533" width="11" style="2" customWidth="1"/>
    <col min="534" max="534" width="9.28515625" style="2" customWidth="1"/>
    <col min="535" max="535" width="9.7109375" style="2" customWidth="1"/>
    <col min="536" max="536" width="10.85546875" style="2" customWidth="1"/>
    <col min="537" max="537" width="10.5703125" style="2" customWidth="1"/>
    <col min="538" max="538" width="10.28515625" style="2" customWidth="1"/>
    <col min="539" max="539" width="9.85546875" style="2" customWidth="1"/>
    <col min="540" max="540" width="10.28515625" style="2" customWidth="1"/>
    <col min="541" max="541" width="9" style="2" customWidth="1"/>
    <col min="542" max="542" width="9.85546875" style="2" customWidth="1"/>
    <col min="543" max="543" width="9.42578125" style="2" customWidth="1"/>
    <col min="544" max="544" width="9.140625" style="2" customWidth="1"/>
    <col min="545" max="545" width="11" style="2" customWidth="1"/>
    <col min="546" max="546" width="9.28515625" style="2" customWidth="1"/>
    <col min="547" max="547" width="9.5703125" style="2" customWidth="1"/>
    <col min="548" max="548" width="10.42578125" style="2" customWidth="1"/>
    <col min="549" max="549" width="9" style="2" customWidth="1"/>
    <col min="550" max="550" width="9.7109375" style="2" customWidth="1"/>
    <col min="551" max="551" width="10" style="2" customWidth="1"/>
    <col min="552" max="552" width="10.7109375" style="2" customWidth="1"/>
    <col min="553" max="553" width="9.42578125" style="2" customWidth="1"/>
    <col min="554" max="554" width="10.28515625" style="2" customWidth="1"/>
    <col min="555" max="555" width="9.5703125" style="2" customWidth="1"/>
    <col min="556" max="556" width="10" style="2" customWidth="1"/>
    <col min="557" max="557" width="9" style="2" customWidth="1"/>
    <col min="558" max="558" width="10.5703125" style="2" customWidth="1"/>
    <col min="559" max="559" width="11.28515625" style="2" customWidth="1"/>
    <col min="560" max="560" width="10.5703125" style="2" customWidth="1"/>
    <col min="561" max="561" width="9.7109375" style="2" customWidth="1"/>
    <col min="562" max="562" width="9.5703125" style="2" customWidth="1"/>
    <col min="563" max="563" width="10.5703125" style="2" customWidth="1"/>
    <col min="564" max="564" width="10.42578125" style="2" customWidth="1"/>
    <col min="565" max="565" width="9.85546875" style="2" customWidth="1"/>
    <col min="566" max="566" width="10.5703125" style="2" bestFit="1" customWidth="1"/>
    <col min="567" max="569" width="10.140625" style="2" bestFit="1" customWidth="1"/>
    <col min="570" max="570" width="8.85546875" style="2" customWidth="1"/>
    <col min="571" max="571" width="9.140625" style="2" bestFit="1" customWidth="1"/>
    <col min="572" max="573" width="10.140625" style="2" customWidth="1"/>
    <col min="574" max="574" width="10" style="2" customWidth="1"/>
    <col min="575" max="575" width="8.28515625" style="2" customWidth="1"/>
    <col min="576" max="576" width="9" style="2" customWidth="1"/>
    <col min="577" max="577" width="10.5703125" style="2" customWidth="1"/>
    <col min="578" max="578" width="10.140625" style="2" customWidth="1"/>
    <col min="579" max="579" width="9.7109375" style="2" customWidth="1"/>
    <col min="580" max="580" width="9.140625" style="2" customWidth="1"/>
    <col min="581" max="581" width="10.140625" style="2" customWidth="1"/>
    <col min="582" max="582" width="9" style="2" customWidth="1"/>
    <col min="583" max="583" width="9.28515625" style="2" customWidth="1"/>
    <col min="584" max="584" width="11" style="2" customWidth="1"/>
    <col min="585" max="585" width="10.140625" style="2" customWidth="1"/>
    <col min="586" max="586" width="10.7109375" style="2" customWidth="1"/>
    <col min="587" max="587" width="9.85546875" style="2" customWidth="1"/>
    <col min="588" max="588" width="11" style="2" customWidth="1"/>
    <col min="589" max="589" width="10" style="2" customWidth="1"/>
    <col min="590" max="590" width="9.140625" style="2" customWidth="1"/>
    <col min="591" max="591" width="10.28515625" style="2" customWidth="1"/>
    <col min="592" max="592" width="10.5703125" style="2" customWidth="1"/>
    <col min="593" max="593" width="9.85546875" style="2" customWidth="1"/>
    <col min="594" max="594" width="10.7109375" style="2" customWidth="1"/>
    <col min="595" max="595" width="9.42578125" style="2" customWidth="1"/>
    <col min="596" max="596" width="10.42578125" style="2" customWidth="1"/>
    <col min="597" max="597" width="9.85546875" style="2" customWidth="1"/>
    <col min="598" max="598" width="10.7109375" style="2" customWidth="1"/>
    <col min="599" max="599" width="10.140625" style="2" customWidth="1"/>
    <col min="600" max="600" width="10.28515625" style="2" customWidth="1"/>
    <col min="601" max="601" width="9" style="2" customWidth="1"/>
    <col min="602" max="602" width="11.140625" style="2" customWidth="1"/>
    <col min="603" max="603" width="10.28515625" style="2" customWidth="1"/>
    <col min="604" max="604" width="9.42578125" style="2" customWidth="1"/>
    <col min="605" max="605" width="10.42578125" style="2" customWidth="1"/>
    <col min="606" max="606" width="9.42578125" style="2" customWidth="1"/>
    <col min="607" max="607" width="9" style="2" customWidth="1"/>
    <col min="608" max="608" width="10.28515625" style="2" customWidth="1"/>
    <col min="609" max="609" width="8.42578125" style="2" customWidth="1"/>
    <col min="610" max="610" width="9.7109375" style="2" customWidth="1"/>
    <col min="611" max="611" width="8.7109375" style="2" customWidth="1"/>
    <col min="612" max="612" width="9.42578125" style="2" customWidth="1"/>
    <col min="613" max="613" width="10.85546875" style="2" customWidth="1"/>
    <col min="614" max="614" width="9.7109375" style="2" customWidth="1"/>
    <col min="615" max="615" width="11.42578125" style="2" customWidth="1"/>
    <col min="616" max="616" width="11" style="2" customWidth="1"/>
    <col min="617" max="617" width="9.42578125" style="2" customWidth="1"/>
    <col min="618" max="618" width="10.28515625" style="2" customWidth="1"/>
    <col min="619" max="619" width="10.42578125" style="2" customWidth="1"/>
    <col min="620" max="620" width="10.28515625" style="2" customWidth="1"/>
    <col min="621" max="622" width="9.140625" style="2" bestFit="1" customWidth="1"/>
    <col min="623" max="623" width="10" style="2" customWidth="1"/>
    <col min="624" max="624" width="9.140625" style="2" customWidth="1"/>
    <col min="625" max="625" width="9.85546875" style="2" customWidth="1"/>
    <col min="626" max="626" width="9.5703125" style="2" customWidth="1"/>
    <col min="627" max="627" width="10.85546875" style="2" customWidth="1"/>
    <col min="628" max="628" width="10.5703125" style="2" customWidth="1"/>
    <col min="629" max="629" width="10.28515625" style="2" customWidth="1"/>
    <col min="630" max="630" width="9.5703125" style="2" customWidth="1"/>
    <col min="631" max="631" width="9.28515625" style="2" customWidth="1"/>
    <col min="632" max="632" width="10.28515625" style="2" customWidth="1"/>
    <col min="633" max="633" width="10" style="2" customWidth="1"/>
    <col min="634" max="634" width="9" style="2" customWidth="1"/>
    <col min="635" max="635" width="10.42578125" style="2" customWidth="1"/>
    <col min="636" max="637" width="9.85546875" style="2" customWidth="1"/>
    <col min="638" max="638" width="10" style="2" customWidth="1"/>
    <col min="639" max="639" width="8.28515625" style="2" customWidth="1"/>
    <col min="640" max="640" width="9.85546875" style="2" customWidth="1"/>
    <col min="641" max="641" width="11.5703125" style="2" customWidth="1"/>
    <col min="642" max="642" width="9.140625" style="2" bestFit="1" customWidth="1"/>
    <col min="643" max="643" width="10" style="2" customWidth="1"/>
    <col min="644" max="644" width="8" style="2" customWidth="1"/>
    <col min="645" max="645" width="11.28515625" style="2" customWidth="1"/>
    <col min="646" max="648" width="10.140625" style="2" bestFit="1" customWidth="1"/>
    <col min="649" max="649" width="12.28515625" style="2" customWidth="1"/>
    <col min="650" max="651" width="5.7109375" style="2"/>
    <col min="652" max="652" width="10.28515625" style="2" bestFit="1" customWidth="1"/>
    <col min="653" max="658" width="5.7109375" style="2"/>
    <col min="659" max="659" width="22" style="2" customWidth="1"/>
    <col min="660" max="660" width="16" style="2" customWidth="1"/>
    <col min="661" max="661" width="7.140625" style="2" bestFit="1" customWidth="1"/>
    <col min="662" max="662" width="9.28515625" style="2" bestFit="1" customWidth="1"/>
    <col min="663" max="723" width="5.7109375" style="2"/>
    <col min="724" max="724" width="29.42578125" style="2" customWidth="1"/>
    <col min="725" max="725" width="4.7109375" style="2" customWidth="1"/>
    <col min="726" max="727" width="9.7109375" style="2" customWidth="1"/>
    <col min="728" max="728" width="9.42578125" style="2" customWidth="1"/>
    <col min="729" max="729" width="9.140625" style="2" customWidth="1"/>
    <col min="730" max="730" width="8.85546875" style="2" customWidth="1"/>
    <col min="731" max="731" width="9.7109375" style="2" customWidth="1"/>
    <col min="732" max="732" width="8.140625" style="2" customWidth="1"/>
    <col min="733" max="733" width="10.42578125" style="2" customWidth="1"/>
    <col min="734" max="734" width="9.140625" style="2" customWidth="1"/>
    <col min="735" max="735" width="9.85546875" style="2" customWidth="1"/>
    <col min="736" max="736" width="9.42578125" style="2" customWidth="1"/>
    <col min="737" max="737" width="9.5703125" style="2" customWidth="1"/>
    <col min="738" max="738" width="9.28515625" style="2" customWidth="1"/>
    <col min="739" max="739" width="9.140625" style="2" customWidth="1"/>
    <col min="740" max="740" width="9.28515625" style="2" bestFit="1" customWidth="1"/>
    <col min="741" max="741" width="10.5703125" style="2" customWidth="1"/>
    <col min="742" max="742" width="7.7109375" style="2" customWidth="1"/>
    <col min="743" max="743" width="9.140625" style="2" customWidth="1"/>
    <col min="744" max="744" width="7.85546875" style="2" customWidth="1"/>
    <col min="745" max="745" width="8.7109375" style="2" customWidth="1"/>
    <col min="746" max="746" width="9.42578125" style="2" customWidth="1"/>
    <col min="747" max="747" width="10.28515625" style="2" customWidth="1"/>
    <col min="748" max="748" width="9.85546875" style="2" customWidth="1"/>
    <col min="749" max="749" width="10.140625" style="2" customWidth="1"/>
    <col min="750" max="751" width="8.140625" style="2" customWidth="1"/>
    <col min="752" max="753" width="7.85546875" style="2" customWidth="1"/>
    <col min="754" max="754" width="9.140625" style="2" customWidth="1"/>
    <col min="755" max="755" width="9.7109375" style="2" customWidth="1"/>
    <col min="756" max="756" width="8.28515625" style="2" customWidth="1"/>
    <col min="757" max="757" width="9.140625" style="2" customWidth="1"/>
    <col min="758" max="758" width="10" style="2" customWidth="1"/>
    <col min="759" max="759" width="10.28515625" style="2" customWidth="1"/>
    <col min="760" max="760" width="9.85546875" style="2" customWidth="1"/>
    <col min="761" max="761" width="9.42578125" style="2" customWidth="1"/>
    <col min="762" max="762" width="9.7109375" style="2" customWidth="1"/>
    <col min="763" max="763" width="9.42578125" style="2" customWidth="1"/>
    <col min="764" max="764" width="9.28515625" style="2" customWidth="1"/>
    <col min="765" max="765" width="10.5703125" style="2" customWidth="1"/>
    <col min="766" max="767" width="8.85546875" style="2" customWidth="1"/>
    <col min="768" max="768" width="8.28515625" style="2" customWidth="1"/>
    <col min="769" max="769" width="8.85546875" style="2" customWidth="1"/>
    <col min="770" max="770" width="9.5703125" style="2" customWidth="1"/>
    <col min="771" max="771" width="8.42578125" style="2" customWidth="1"/>
    <col min="772" max="772" width="9.5703125" style="2" customWidth="1"/>
    <col min="773" max="773" width="8.28515625" style="2" customWidth="1"/>
    <col min="774" max="774" width="9.28515625" style="2" customWidth="1"/>
    <col min="775" max="775" width="9.85546875" style="2" customWidth="1"/>
    <col min="776" max="776" width="10.28515625" style="2" customWidth="1"/>
    <col min="777" max="777" width="10.42578125" style="2" customWidth="1"/>
    <col min="778" max="778" width="9.5703125" style="2" customWidth="1"/>
    <col min="779" max="779" width="10.140625" style="2" customWidth="1"/>
    <col min="780" max="780" width="9.5703125" style="2" customWidth="1"/>
    <col min="781" max="781" width="10.28515625" style="2" customWidth="1"/>
    <col min="782" max="782" width="10" style="2" customWidth="1"/>
    <col min="783" max="783" width="9.140625" style="2" customWidth="1"/>
    <col min="784" max="784" width="10.5703125" style="2" customWidth="1"/>
    <col min="785" max="785" width="9.28515625" style="2" customWidth="1"/>
    <col min="786" max="787" width="9.42578125" style="2" customWidth="1"/>
    <col min="788" max="788" width="9" style="2" customWidth="1"/>
    <col min="789" max="789" width="11" style="2" customWidth="1"/>
    <col min="790" max="790" width="9.28515625" style="2" customWidth="1"/>
    <col min="791" max="791" width="9.7109375" style="2" customWidth="1"/>
    <col min="792" max="792" width="10.85546875" style="2" customWidth="1"/>
    <col min="793" max="793" width="10.5703125" style="2" customWidth="1"/>
    <col min="794" max="794" width="10.28515625" style="2" customWidth="1"/>
    <col min="795" max="795" width="9.85546875" style="2" customWidth="1"/>
    <col min="796" max="796" width="10.28515625" style="2" customWidth="1"/>
    <col min="797" max="797" width="9" style="2" customWidth="1"/>
    <col min="798" max="798" width="9.85546875" style="2" customWidth="1"/>
    <col min="799" max="799" width="9.42578125" style="2" customWidth="1"/>
    <col min="800" max="800" width="9.140625" style="2" customWidth="1"/>
    <col min="801" max="801" width="11" style="2" customWidth="1"/>
    <col min="802" max="802" width="9.28515625" style="2" customWidth="1"/>
    <col min="803" max="803" width="9.5703125" style="2" customWidth="1"/>
    <col min="804" max="804" width="10.42578125" style="2" customWidth="1"/>
    <col min="805" max="805" width="9" style="2" customWidth="1"/>
    <col min="806" max="806" width="9.7109375" style="2" customWidth="1"/>
    <col min="807" max="807" width="10" style="2" customWidth="1"/>
    <col min="808" max="808" width="10.7109375" style="2" customWidth="1"/>
    <col min="809" max="809" width="9.42578125" style="2" customWidth="1"/>
    <col min="810" max="810" width="10.28515625" style="2" customWidth="1"/>
    <col min="811" max="811" width="9.5703125" style="2" customWidth="1"/>
    <col min="812" max="812" width="10" style="2" customWidth="1"/>
    <col min="813" max="813" width="9" style="2" customWidth="1"/>
    <col min="814" max="814" width="10.5703125" style="2" customWidth="1"/>
    <col min="815" max="815" width="11.28515625" style="2" customWidth="1"/>
    <col min="816" max="816" width="10.5703125" style="2" customWidth="1"/>
    <col min="817" max="817" width="9.7109375" style="2" customWidth="1"/>
    <col min="818" max="818" width="9.5703125" style="2" customWidth="1"/>
    <col min="819" max="819" width="10.5703125" style="2" customWidth="1"/>
    <col min="820" max="820" width="10.42578125" style="2" customWidth="1"/>
    <col min="821" max="821" width="9.85546875" style="2" customWidth="1"/>
    <col min="822" max="822" width="10.5703125" style="2" bestFit="1" customWidth="1"/>
    <col min="823" max="825" width="10.140625" style="2" bestFit="1" customWidth="1"/>
    <col min="826" max="826" width="8.85546875" style="2" customWidth="1"/>
    <col min="827" max="827" width="9.140625" style="2" bestFit="1" customWidth="1"/>
    <col min="828" max="829" width="10.140625" style="2" customWidth="1"/>
    <col min="830" max="830" width="10" style="2" customWidth="1"/>
    <col min="831" max="831" width="8.28515625" style="2" customWidth="1"/>
    <col min="832" max="832" width="9" style="2" customWidth="1"/>
    <col min="833" max="833" width="10.5703125" style="2" customWidth="1"/>
    <col min="834" max="834" width="10.140625" style="2" customWidth="1"/>
    <col min="835" max="835" width="9.7109375" style="2" customWidth="1"/>
    <col min="836" max="836" width="9.140625" style="2" customWidth="1"/>
    <col min="837" max="837" width="10.140625" style="2" customWidth="1"/>
    <col min="838" max="838" width="9" style="2" customWidth="1"/>
    <col min="839" max="839" width="9.28515625" style="2" customWidth="1"/>
    <col min="840" max="840" width="11" style="2" customWidth="1"/>
    <col min="841" max="841" width="10.140625" style="2" customWidth="1"/>
    <col min="842" max="842" width="10.7109375" style="2" customWidth="1"/>
    <col min="843" max="843" width="9.85546875" style="2" customWidth="1"/>
    <col min="844" max="844" width="11" style="2" customWidth="1"/>
    <col min="845" max="845" width="10" style="2" customWidth="1"/>
    <col min="846" max="846" width="9.140625" style="2" customWidth="1"/>
    <col min="847" max="847" width="10.28515625" style="2" customWidth="1"/>
    <col min="848" max="848" width="10.5703125" style="2" customWidth="1"/>
    <col min="849" max="849" width="9.85546875" style="2" customWidth="1"/>
    <col min="850" max="850" width="10.7109375" style="2" customWidth="1"/>
    <col min="851" max="851" width="9.42578125" style="2" customWidth="1"/>
    <col min="852" max="852" width="10.42578125" style="2" customWidth="1"/>
    <col min="853" max="853" width="9.85546875" style="2" customWidth="1"/>
    <col min="854" max="854" width="10.7109375" style="2" customWidth="1"/>
    <col min="855" max="855" width="10.140625" style="2" customWidth="1"/>
    <col min="856" max="856" width="10.28515625" style="2" customWidth="1"/>
    <col min="857" max="857" width="9" style="2" customWidth="1"/>
    <col min="858" max="858" width="11.140625" style="2" customWidth="1"/>
    <col min="859" max="859" width="10.28515625" style="2" customWidth="1"/>
    <col min="860" max="860" width="9.42578125" style="2" customWidth="1"/>
    <col min="861" max="861" width="10.42578125" style="2" customWidth="1"/>
    <col min="862" max="862" width="9.42578125" style="2" customWidth="1"/>
    <col min="863" max="863" width="9" style="2" customWidth="1"/>
    <col min="864" max="864" width="10.28515625" style="2" customWidth="1"/>
    <col min="865" max="865" width="8.42578125" style="2" customWidth="1"/>
    <col min="866" max="866" width="9.7109375" style="2" customWidth="1"/>
    <col min="867" max="867" width="8.7109375" style="2" customWidth="1"/>
    <col min="868" max="868" width="9.42578125" style="2" customWidth="1"/>
    <col min="869" max="869" width="10.85546875" style="2" customWidth="1"/>
    <col min="870" max="870" width="9.7109375" style="2" customWidth="1"/>
    <col min="871" max="871" width="11.42578125" style="2" customWidth="1"/>
    <col min="872" max="872" width="11" style="2" customWidth="1"/>
    <col min="873" max="873" width="9.42578125" style="2" customWidth="1"/>
    <col min="874" max="874" width="10.28515625" style="2" customWidth="1"/>
    <col min="875" max="875" width="10.42578125" style="2" customWidth="1"/>
    <col min="876" max="876" width="10.28515625" style="2" customWidth="1"/>
    <col min="877" max="878" width="9.140625" style="2" bestFit="1" customWidth="1"/>
    <col min="879" max="879" width="10" style="2" customWidth="1"/>
    <col min="880" max="880" width="9.140625" style="2" customWidth="1"/>
    <col min="881" max="881" width="9.85546875" style="2" customWidth="1"/>
    <col min="882" max="882" width="9.5703125" style="2" customWidth="1"/>
    <col min="883" max="883" width="10.85546875" style="2" customWidth="1"/>
    <col min="884" max="884" width="10.5703125" style="2" customWidth="1"/>
    <col min="885" max="885" width="10.28515625" style="2" customWidth="1"/>
    <col min="886" max="886" width="9.5703125" style="2" customWidth="1"/>
    <col min="887" max="887" width="9.28515625" style="2" customWidth="1"/>
    <col min="888" max="888" width="10.28515625" style="2" customWidth="1"/>
    <col min="889" max="889" width="10" style="2" customWidth="1"/>
    <col min="890" max="890" width="9" style="2" customWidth="1"/>
    <col min="891" max="891" width="10.42578125" style="2" customWidth="1"/>
    <col min="892" max="893" width="9.85546875" style="2" customWidth="1"/>
    <col min="894" max="894" width="10" style="2" customWidth="1"/>
    <col min="895" max="895" width="8.28515625" style="2" customWidth="1"/>
    <col min="896" max="896" width="9.85546875" style="2" customWidth="1"/>
    <col min="897" max="897" width="11.5703125" style="2" customWidth="1"/>
    <col min="898" max="898" width="9.140625" style="2" bestFit="1" customWidth="1"/>
    <col min="899" max="899" width="10" style="2" customWidth="1"/>
    <col min="900" max="900" width="8" style="2" customWidth="1"/>
    <col min="901" max="901" width="11.28515625" style="2" customWidth="1"/>
    <col min="902" max="904" width="10.140625" style="2" bestFit="1" customWidth="1"/>
    <col min="905" max="905" width="12.28515625" style="2" customWidth="1"/>
    <col min="906" max="907" width="5.7109375" style="2"/>
    <col min="908" max="908" width="10.28515625" style="2" bestFit="1" customWidth="1"/>
    <col min="909" max="914" width="5.7109375" style="2"/>
    <col min="915" max="915" width="22" style="2" customWidth="1"/>
    <col min="916" max="916" width="16" style="2" customWidth="1"/>
    <col min="917" max="917" width="7.140625" style="2" bestFit="1" customWidth="1"/>
    <col min="918" max="918" width="9.28515625" style="2" bestFit="1" customWidth="1"/>
    <col min="919" max="979" width="5.7109375" style="2"/>
    <col min="980" max="980" width="29.42578125" style="2" customWidth="1"/>
    <col min="981" max="981" width="4.7109375" style="2" customWidth="1"/>
    <col min="982" max="983" width="9.7109375" style="2" customWidth="1"/>
    <col min="984" max="984" width="9.42578125" style="2" customWidth="1"/>
    <col min="985" max="985" width="9.140625" style="2" customWidth="1"/>
    <col min="986" max="986" width="8.85546875" style="2" customWidth="1"/>
    <col min="987" max="987" width="9.7109375" style="2" customWidth="1"/>
    <col min="988" max="988" width="8.140625" style="2" customWidth="1"/>
    <col min="989" max="989" width="10.42578125" style="2" customWidth="1"/>
    <col min="990" max="990" width="9.140625" style="2" customWidth="1"/>
    <col min="991" max="991" width="9.85546875" style="2" customWidth="1"/>
    <col min="992" max="992" width="9.42578125" style="2" customWidth="1"/>
    <col min="993" max="993" width="9.5703125" style="2" customWidth="1"/>
    <col min="994" max="994" width="9.28515625" style="2" customWidth="1"/>
    <col min="995" max="995" width="9.140625" style="2" customWidth="1"/>
    <col min="996" max="996" width="9.28515625" style="2" bestFit="1" customWidth="1"/>
    <col min="997" max="997" width="10.5703125" style="2" customWidth="1"/>
    <col min="998" max="998" width="7.7109375" style="2" customWidth="1"/>
    <col min="999" max="999" width="9.140625" style="2" customWidth="1"/>
    <col min="1000" max="1000" width="7.85546875" style="2" customWidth="1"/>
    <col min="1001" max="1001" width="8.7109375" style="2" customWidth="1"/>
    <col min="1002" max="1002" width="9.42578125" style="2" customWidth="1"/>
    <col min="1003" max="1003" width="10.28515625" style="2" customWidth="1"/>
    <col min="1004" max="1004" width="9.85546875" style="2" customWidth="1"/>
    <col min="1005" max="1005" width="10.140625" style="2" customWidth="1"/>
    <col min="1006" max="1007" width="8.140625" style="2" customWidth="1"/>
    <col min="1008" max="1009" width="7.85546875" style="2" customWidth="1"/>
    <col min="1010" max="1010" width="9.140625" style="2" customWidth="1"/>
    <col min="1011" max="1011" width="9.7109375" style="2" customWidth="1"/>
    <col min="1012" max="1012" width="8.28515625" style="2" customWidth="1"/>
    <col min="1013" max="1013" width="9.140625" style="2" customWidth="1"/>
    <col min="1014" max="1014" width="10" style="2" customWidth="1"/>
    <col min="1015" max="1015" width="10.28515625" style="2" customWidth="1"/>
    <col min="1016" max="1016" width="9.85546875" style="2" customWidth="1"/>
    <col min="1017" max="1017" width="9.42578125" style="2" customWidth="1"/>
    <col min="1018" max="1018" width="9.7109375" style="2" customWidth="1"/>
    <col min="1019" max="1019" width="9.42578125" style="2" customWidth="1"/>
    <col min="1020" max="1020" width="9.28515625" style="2" customWidth="1"/>
    <col min="1021" max="1021" width="10.5703125" style="2" customWidth="1"/>
    <col min="1022" max="1023" width="8.85546875" style="2" customWidth="1"/>
    <col min="1024" max="1024" width="8.28515625" style="2" customWidth="1"/>
    <col min="1025" max="1025" width="8.85546875" style="2" customWidth="1"/>
    <col min="1026" max="1026" width="9.5703125" style="2" customWidth="1"/>
    <col min="1027" max="1027" width="8.42578125" style="2" customWidth="1"/>
    <col min="1028" max="1028" width="9.5703125" style="2" customWidth="1"/>
    <col min="1029" max="1029" width="8.28515625" style="2" customWidth="1"/>
    <col min="1030" max="1030" width="9.28515625" style="2" customWidth="1"/>
    <col min="1031" max="1031" width="9.85546875" style="2" customWidth="1"/>
    <col min="1032" max="1032" width="10.28515625" style="2" customWidth="1"/>
    <col min="1033" max="1033" width="10.42578125" style="2" customWidth="1"/>
    <col min="1034" max="1034" width="9.5703125" style="2" customWidth="1"/>
    <col min="1035" max="1035" width="10.140625" style="2" customWidth="1"/>
    <col min="1036" max="1036" width="9.5703125" style="2" customWidth="1"/>
    <col min="1037" max="1037" width="10.28515625" style="2" customWidth="1"/>
    <col min="1038" max="1038" width="10" style="2" customWidth="1"/>
    <col min="1039" max="1039" width="9.140625" style="2" customWidth="1"/>
    <col min="1040" max="1040" width="10.5703125" style="2" customWidth="1"/>
    <col min="1041" max="1041" width="9.28515625" style="2" customWidth="1"/>
    <col min="1042" max="1043" width="9.42578125" style="2" customWidth="1"/>
    <col min="1044" max="1044" width="9" style="2" customWidth="1"/>
    <col min="1045" max="1045" width="11" style="2" customWidth="1"/>
    <col min="1046" max="1046" width="9.28515625" style="2" customWidth="1"/>
    <col min="1047" max="1047" width="9.7109375" style="2" customWidth="1"/>
    <col min="1048" max="1048" width="10.85546875" style="2" customWidth="1"/>
    <col min="1049" max="1049" width="10.5703125" style="2" customWidth="1"/>
    <col min="1050" max="1050" width="10.28515625" style="2" customWidth="1"/>
    <col min="1051" max="1051" width="9.85546875" style="2" customWidth="1"/>
    <col min="1052" max="1052" width="10.28515625" style="2" customWidth="1"/>
    <col min="1053" max="1053" width="9" style="2" customWidth="1"/>
    <col min="1054" max="1054" width="9.85546875" style="2" customWidth="1"/>
    <col min="1055" max="1055" width="9.42578125" style="2" customWidth="1"/>
    <col min="1056" max="1056" width="9.140625" style="2" customWidth="1"/>
    <col min="1057" max="1057" width="11" style="2" customWidth="1"/>
    <col min="1058" max="1058" width="9.28515625" style="2" customWidth="1"/>
    <col min="1059" max="1059" width="9.5703125" style="2" customWidth="1"/>
    <col min="1060" max="1060" width="10.42578125" style="2" customWidth="1"/>
    <col min="1061" max="1061" width="9" style="2" customWidth="1"/>
    <col min="1062" max="1062" width="9.7109375" style="2" customWidth="1"/>
    <col min="1063" max="1063" width="10" style="2" customWidth="1"/>
    <col min="1064" max="1064" width="10.7109375" style="2" customWidth="1"/>
    <col min="1065" max="1065" width="9.42578125" style="2" customWidth="1"/>
    <col min="1066" max="1066" width="10.28515625" style="2" customWidth="1"/>
    <col min="1067" max="1067" width="9.5703125" style="2" customWidth="1"/>
    <col min="1068" max="1068" width="10" style="2" customWidth="1"/>
    <col min="1069" max="1069" width="9" style="2" customWidth="1"/>
    <col min="1070" max="1070" width="10.5703125" style="2" customWidth="1"/>
    <col min="1071" max="1071" width="11.28515625" style="2" customWidth="1"/>
    <col min="1072" max="1072" width="10.5703125" style="2" customWidth="1"/>
    <col min="1073" max="1073" width="9.7109375" style="2" customWidth="1"/>
    <col min="1074" max="1074" width="9.5703125" style="2" customWidth="1"/>
    <col min="1075" max="1075" width="10.5703125" style="2" customWidth="1"/>
    <col min="1076" max="1076" width="10.42578125" style="2" customWidth="1"/>
    <col min="1077" max="1077" width="9.85546875" style="2" customWidth="1"/>
    <col min="1078" max="1078" width="10.5703125" style="2" bestFit="1" customWidth="1"/>
    <col min="1079" max="1081" width="10.140625" style="2" bestFit="1" customWidth="1"/>
    <col min="1082" max="1082" width="8.85546875" style="2" customWidth="1"/>
    <col min="1083" max="1083" width="9.140625" style="2" bestFit="1" customWidth="1"/>
    <col min="1084" max="1085" width="10.140625" style="2" customWidth="1"/>
    <col min="1086" max="1086" width="10" style="2" customWidth="1"/>
    <col min="1087" max="1087" width="8.28515625" style="2" customWidth="1"/>
    <col min="1088" max="1088" width="9" style="2" customWidth="1"/>
    <col min="1089" max="1089" width="10.5703125" style="2" customWidth="1"/>
    <col min="1090" max="1090" width="10.140625" style="2" customWidth="1"/>
    <col min="1091" max="1091" width="9.7109375" style="2" customWidth="1"/>
    <col min="1092" max="1092" width="9.140625" style="2" customWidth="1"/>
    <col min="1093" max="1093" width="10.140625" style="2" customWidth="1"/>
    <col min="1094" max="1094" width="9" style="2" customWidth="1"/>
    <col min="1095" max="1095" width="9.28515625" style="2" customWidth="1"/>
    <col min="1096" max="1096" width="11" style="2" customWidth="1"/>
    <col min="1097" max="1097" width="10.140625" style="2" customWidth="1"/>
    <col min="1098" max="1098" width="10.7109375" style="2" customWidth="1"/>
    <col min="1099" max="1099" width="9.85546875" style="2" customWidth="1"/>
    <col min="1100" max="1100" width="11" style="2" customWidth="1"/>
    <col min="1101" max="1101" width="10" style="2" customWidth="1"/>
    <col min="1102" max="1102" width="9.140625" style="2" customWidth="1"/>
    <col min="1103" max="1103" width="10.28515625" style="2" customWidth="1"/>
    <col min="1104" max="1104" width="10.5703125" style="2" customWidth="1"/>
    <col min="1105" max="1105" width="9.85546875" style="2" customWidth="1"/>
    <col min="1106" max="1106" width="10.7109375" style="2" customWidth="1"/>
    <col min="1107" max="1107" width="9.42578125" style="2" customWidth="1"/>
    <col min="1108" max="1108" width="10.42578125" style="2" customWidth="1"/>
    <col min="1109" max="1109" width="9.85546875" style="2" customWidth="1"/>
    <col min="1110" max="1110" width="10.7109375" style="2" customWidth="1"/>
    <col min="1111" max="1111" width="10.140625" style="2" customWidth="1"/>
    <col min="1112" max="1112" width="10.28515625" style="2" customWidth="1"/>
    <col min="1113" max="1113" width="9" style="2" customWidth="1"/>
    <col min="1114" max="1114" width="11.140625" style="2" customWidth="1"/>
    <col min="1115" max="1115" width="10.28515625" style="2" customWidth="1"/>
    <col min="1116" max="1116" width="9.42578125" style="2" customWidth="1"/>
    <col min="1117" max="1117" width="10.42578125" style="2" customWidth="1"/>
    <col min="1118" max="1118" width="9.42578125" style="2" customWidth="1"/>
    <col min="1119" max="1119" width="9" style="2" customWidth="1"/>
    <col min="1120" max="1120" width="10.28515625" style="2" customWidth="1"/>
    <col min="1121" max="1121" width="8.42578125" style="2" customWidth="1"/>
    <col min="1122" max="1122" width="9.7109375" style="2" customWidth="1"/>
    <col min="1123" max="1123" width="8.7109375" style="2" customWidth="1"/>
    <col min="1124" max="1124" width="9.42578125" style="2" customWidth="1"/>
    <col min="1125" max="1125" width="10.85546875" style="2" customWidth="1"/>
    <col min="1126" max="1126" width="9.7109375" style="2" customWidth="1"/>
    <col min="1127" max="1127" width="11.42578125" style="2" customWidth="1"/>
    <col min="1128" max="1128" width="11" style="2" customWidth="1"/>
    <col min="1129" max="1129" width="9.42578125" style="2" customWidth="1"/>
    <col min="1130" max="1130" width="10.28515625" style="2" customWidth="1"/>
    <col min="1131" max="1131" width="10.42578125" style="2" customWidth="1"/>
    <col min="1132" max="1132" width="10.28515625" style="2" customWidth="1"/>
    <col min="1133" max="1134" width="9.140625" style="2" bestFit="1" customWidth="1"/>
    <col min="1135" max="1135" width="10" style="2" customWidth="1"/>
    <col min="1136" max="1136" width="9.140625" style="2" customWidth="1"/>
    <col min="1137" max="1137" width="9.85546875" style="2" customWidth="1"/>
    <col min="1138" max="1138" width="9.5703125" style="2" customWidth="1"/>
    <col min="1139" max="1139" width="10.85546875" style="2" customWidth="1"/>
    <col min="1140" max="1140" width="10.5703125" style="2" customWidth="1"/>
    <col min="1141" max="1141" width="10.28515625" style="2" customWidth="1"/>
    <col min="1142" max="1142" width="9.5703125" style="2" customWidth="1"/>
    <col min="1143" max="1143" width="9.28515625" style="2" customWidth="1"/>
    <col min="1144" max="1144" width="10.28515625" style="2" customWidth="1"/>
    <col min="1145" max="1145" width="10" style="2" customWidth="1"/>
    <col min="1146" max="1146" width="9" style="2" customWidth="1"/>
    <col min="1147" max="1147" width="10.42578125" style="2" customWidth="1"/>
    <col min="1148" max="1149" width="9.85546875" style="2" customWidth="1"/>
    <col min="1150" max="1150" width="10" style="2" customWidth="1"/>
    <col min="1151" max="1151" width="8.28515625" style="2" customWidth="1"/>
    <col min="1152" max="1152" width="9.85546875" style="2" customWidth="1"/>
    <col min="1153" max="1153" width="11.5703125" style="2" customWidth="1"/>
    <col min="1154" max="1154" width="9.140625" style="2" bestFit="1" customWidth="1"/>
    <col min="1155" max="1155" width="10" style="2" customWidth="1"/>
    <col min="1156" max="1156" width="8" style="2" customWidth="1"/>
    <col min="1157" max="1157" width="11.28515625" style="2" customWidth="1"/>
    <col min="1158" max="1160" width="10.140625" style="2" bestFit="1" customWidth="1"/>
    <col min="1161" max="1161" width="12.28515625" style="2" customWidth="1"/>
    <col min="1162" max="1163" width="5.7109375" style="2"/>
    <col min="1164" max="1164" width="10.28515625" style="2" bestFit="1" customWidth="1"/>
    <col min="1165" max="1170" width="5.7109375" style="2"/>
    <col min="1171" max="1171" width="22" style="2" customWidth="1"/>
    <col min="1172" max="1172" width="16" style="2" customWidth="1"/>
    <col min="1173" max="1173" width="7.140625" style="2" bestFit="1" customWidth="1"/>
    <col min="1174" max="1174" width="9.28515625" style="2" bestFit="1" customWidth="1"/>
    <col min="1175" max="1235" width="5.7109375" style="2"/>
    <col min="1236" max="1236" width="29.42578125" style="2" customWidth="1"/>
    <col min="1237" max="1237" width="4.7109375" style="2" customWidth="1"/>
    <col min="1238" max="1239" width="9.7109375" style="2" customWidth="1"/>
    <col min="1240" max="1240" width="9.42578125" style="2" customWidth="1"/>
    <col min="1241" max="1241" width="9.140625" style="2" customWidth="1"/>
    <col min="1242" max="1242" width="8.85546875" style="2" customWidth="1"/>
    <col min="1243" max="1243" width="9.7109375" style="2" customWidth="1"/>
    <col min="1244" max="1244" width="8.140625" style="2" customWidth="1"/>
    <col min="1245" max="1245" width="10.42578125" style="2" customWidth="1"/>
    <col min="1246" max="1246" width="9.140625" style="2" customWidth="1"/>
    <col min="1247" max="1247" width="9.85546875" style="2" customWidth="1"/>
    <col min="1248" max="1248" width="9.42578125" style="2" customWidth="1"/>
    <col min="1249" max="1249" width="9.5703125" style="2" customWidth="1"/>
    <col min="1250" max="1250" width="9.28515625" style="2" customWidth="1"/>
    <col min="1251" max="1251" width="9.140625" style="2" customWidth="1"/>
    <col min="1252" max="1252" width="9.28515625" style="2" bestFit="1" customWidth="1"/>
    <col min="1253" max="1253" width="10.5703125" style="2" customWidth="1"/>
    <col min="1254" max="1254" width="7.7109375" style="2" customWidth="1"/>
    <col min="1255" max="1255" width="9.140625" style="2" customWidth="1"/>
    <col min="1256" max="1256" width="7.85546875" style="2" customWidth="1"/>
    <col min="1257" max="1257" width="8.7109375" style="2" customWidth="1"/>
    <col min="1258" max="1258" width="9.42578125" style="2" customWidth="1"/>
    <col min="1259" max="1259" width="10.28515625" style="2" customWidth="1"/>
    <col min="1260" max="1260" width="9.85546875" style="2" customWidth="1"/>
    <col min="1261" max="1261" width="10.140625" style="2" customWidth="1"/>
    <col min="1262" max="1263" width="8.140625" style="2" customWidth="1"/>
    <col min="1264" max="1265" width="7.85546875" style="2" customWidth="1"/>
    <col min="1266" max="1266" width="9.140625" style="2" customWidth="1"/>
    <col min="1267" max="1267" width="9.7109375" style="2" customWidth="1"/>
    <col min="1268" max="1268" width="8.28515625" style="2" customWidth="1"/>
    <col min="1269" max="1269" width="9.140625" style="2" customWidth="1"/>
    <col min="1270" max="1270" width="10" style="2" customWidth="1"/>
    <col min="1271" max="1271" width="10.28515625" style="2" customWidth="1"/>
    <col min="1272" max="1272" width="9.85546875" style="2" customWidth="1"/>
    <col min="1273" max="1273" width="9.42578125" style="2" customWidth="1"/>
    <col min="1274" max="1274" width="9.7109375" style="2" customWidth="1"/>
    <col min="1275" max="1275" width="9.42578125" style="2" customWidth="1"/>
    <col min="1276" max="1276" width="9.28515625" style="2" customWidth="1"/>
    <col min="1277" max="1277" width="10.5703125" style="2" customWidth="1"/>
    <col min="1278" max="1279" width="8.85546875" style="2" customWidth="1"/>
    <col min="1280" max="1280" width="8.28515625" style="2" customWidth="1"/>
    <col min="1281" max="1281" width="8.85546875" style="2" customWidth="1"/>
    <col min="1282" max="1282" width="9.5703125" style="2" customWidth="1"/>
    <col min="1283" max="1283" width="8.42578125" style="2" customWidth="1"/>
    <col min="1284" max="1284" width="9.5703125" style="2" customWidth="1"/>
    <col min="1285" max="1285" width="8.28515625" style="2" customWidth="1"/>
    <col min="1286" max="1286" width="9.28515625" style="2" customWidth="1"/>
    <col min="1287" max="1287" width="9.85546875" style="2" customWidth="1"/>
    <col min="1288" max="1288" width="10.28515625" style="2" customWidth="1"/>
    <col min="1289" max="1289" width="10.42578125" style="2" customWidth="1"/>
    <col min="1290" max="1290" width="9.5703125" style="2" customWidth="1"/>
    <col min="1291" max="1291" width="10.140625" style="2" customWidth="1"/>
    <col min="1292" max="1292" width="9.5703125" style="2" customWidth="1"/>
    <col min="1293" max="1293" width="10.28515625" style="2" customWidth="1"/>
    <col min="1294" max="1294" width="10" style="2" customWidth="1"/>
    <col min="1295" max="1295" width="9.140625" style="2" customWidth="1"/>
    <col min="1296" max="1296" width="10.5703125" style="2" customWidth="1"/>
    <col min="1297" max="1297" width="9.28515625" style="2" customWidth="1"/>
    <col min="1298" max="1299" width="9.42578125" style="2" customWidth="1"/>
    <col min="1300" max="1300" width="9" style="2" customWidth="1"/>
    <col min="1301" max="1301" width="11" style="2" customWidth="1"/>
    <col min="1302" max="1302" width="9.28515625" style="2" customWidth="1"/>
    <col min="1303" max="1303" width="9.7109375" style="2" customWidth="1"/>
    <col min="1304" max="1304" width="10.85546875" style="2" customWidth="1"/>
    <col min="1305" max="1305" width="10.5703125" style="2" customWidth="1"/>
    <col min="1306" max="1306" width="10.28515625" style="2" customWidth="1"/>
    <col min="1307" max="1307" width="9.85546875" style="2" customWidth="1"/>
    <col min="1308" max="1308" width="10.28515625" style="2" customWidth="1"/>
    <col min="1309" max="1309" width="9" style="2" customWidth="1"/>
    <col min="1310" max="1310" width="9.85546875" style="2" customWidth="1"/>
    <col min="1311" max="1311" width="9.42578125" style="2" customWidth="1"/>
    <col min="1312" max="1312" width="9.140625" style="2" customWidth="1"/>
    <col min="1313" max="1313" width="11" style="2" customWidth="1"/>
    <col min="1314" max="1314" width="9.28515625" style="2" customWidth="1"/>
    <col min="1315" max="1315" width="9.5703125" style="2" customWidth="1"/>
    <col min="1316" max="1316" width="10.42578125" style="2" customWidth="1"/>
    <col min="1317" max="1317" width="9" style="2" customWidth="1"/>
    <col min="1318" max="1318" width="9.7109375" style="2" customWidth="1"/>
    <col min="1319" max="1319" width="10" style="2" customWidth="1"/>
    <col min="1320" max="1320" width="10.7109375" style="2" customWidth="1"/>
    <col min="1321" max="1321" width="9.42578125" style="2" customWidth="1"/>
    <col min="1322" max="1322" width="10.28515625" style="2" customWidth="1"/>
    <col min="1323" max="1323" width="9.5703125" style="2" customWidth="1"/>
    <col min="1324" max="1324" width="10" style="2" customWidth="1"/>
    <col min="1325" max="1325" width="9" style="2" customWidth="1"/>
    <col min="1326" max="1326" width="10.5703125" style="2" customWidth="1"/>
    <col min="1327" max="1327" width="11.28515625" style="2" customWidth="1"/>
    <col min="1328" max="1328" width="10.5703125" style="2" customWidth="1"/>
    <col min="1329" max="1329" width="9.7109375" style="2" customWidth="1"/>
    <col min="1330" max="1330" width="9.5703125" style="2" customWidth="1"/>
    <col min="1331" max="1331" width="10.5703125" style="2" customWidth="1"/>
    <col min="1332" max="1332" width="10.42578125" style="2" customWidth="1"/>
    <col min="1333" max="1333" width="9.85546875" style="2" customWidth="1"/>
    <col min="1334" max="1334" width="10.5703125" style="2" bestFit="1" customWidth="1"/>
    <col min="1335" max="1337" width="10.140625" style="2" bestFit="1" customWidth="1"/>
    <col min="1338" max="1338" width="8.85546875" style="2" customWidth="1"/>
    <col min="1339" max="1339" width="9.140625" style="2" bestFit="1" customWidth="1"/>
    <col min="1340" max="1341" width="10.140625" style="2" customWidth="1"/>
    <col min="1342" max="1342" width="10" style="2" customWidth="1"/>
    <col min="1343" max="1343" width="8.28515625" style="2" customWidth="1"/>
    <col min="1344" max="1344" width="9" style="2" customWidth="1"/>
    <col min="1345" max="1345" width="10.5703125" style="2" customWidth="1"/>
    <col min="1346" max="1346" width="10.140625" style="2" customWidth="1"/>
    <col min="1347" max="1347" width="9.7109375" style="2" customWidth="1"/>
    <col min="1348" max="1348" width="9.140625" style="2" customWidth="1"/>
    <col min="1349" max="1349" width="10.140625" style="2" customWidth="1"/>
    <col min="1350" max="1350" width="9" style="2" customWidth="1"/>
    <col min="1351" max="1351" width="9.28515625" style="2" customWidth="1"/>
    <col min="1352" max="1352" width="11" style="2" customWidth="1"/>
    <col min="1353" max="1353" width="10.140625" style="2" customWidth="1"/>
    <col min="1354" max="1354" width="10.7109375" style="2" customWidth="1"/>
    <col min="1355" max="1355" width="9.85546875" style="2" customWidth="1"/>
    <col min="1356" max="1356" width="11" style="2" customWidth="1"/>
    <col min="1357" max="1357" width="10" style="2" customWidth="1"/>
    <col min="1358" max="1358" width="9.140625" style="2" customWidth="1"/>
    <col min="1359" max="1359" width="10.28515625" style="2" customWidth="1"/>
    <col min="1360" max="1360" width="10.5703125" style="2" customWidth="1"/>
    <col min="1361" max="1361" width="9.85546875" style="2" customWidth="1"/>
    <col min="1362" max="1362" width="10.7109375" style="2" customWidth="1"/>
    <col min="1363" max="1363" width="9.42578125" style="2" customWidth="1"/>
    <col min="1364" max="1364" width="10.42578125" style="2" customWidth="1"/>
    <col min="1365" max="1365" width="9.85546875" style="2" customWidth="1"/>
    <col min="1366" max="1366" width="10.7109375" style="2" customWidth="1"/>
    <col min="1367" max="1367" width="10.140625" style="2" customWidth="1"/>
    <col min="1368" max="1368" width="10.28515625" style="2" customWidth="1"/>
    <col min="1369" max="1369" width="9" style="2" customWidth="1"/>
    <col min="1370" max="1370" width="11.140625" style="2" customWidth="1"/>
    <col min="1371" max="1371" width="10.28515625" style="2" customWidth="1"/>
    <col min="1372" max="1372" width="9.42578125" style="2" customWidth="1"/>
    <col min="1373" max="1373" width="10.42578125" style="2" customWidth="1"/>
    <col min="1374" max="1374" width="9.42578125" style="2" customWidth="1"/>
    <col min="1375" max="1375" width="9" style="2" customWidth="1"/>
    <col min="1376" max="1376" width="10.28515625" style="2" customWidth="1"/>
    <col min="1377" max="1377" width="8.42578125" style="2" customWidth="1"/>
    <col min="1378" max="1378" width="9.7109375" style="2" customWidth="1"/>
    <col min="1379" max="1379" width="8.7109375" style="2" customWidth="1"/>
    <col min="1380" max="1380" width="9.42578125" style="2" customWidth="1"/>
    <col min="1381" max="1381" width="10.85546875" style="2" customWidth="1"/>
    <col min="1382" max="1382" width="9.7109375" style="2" customWidth="1"/>
    <col min="1383" max="1383" width="11.42578125" style="2" customWidth="1"/>
    <col min="1384" max="1384" width="11" style="2" customWidth="1"/>
    <col min="1385" max="1385" width="9.42578125" style="2" customWidth="1"/>
    <col min="1386" max="1386" width="10.28515625" style="2" customWidth="1"/>
    <col min="1387" max="1387" width="10.42578125" style="2" customWidth="1"/>
    <col min="1388" max="1388" width="10.28515625" style="2" customWidth="1"/>
    <col min="1389" max="1390" width="9.140625" style="2" bestFit="1" customWidth="1"/>
    <col min="1391" max="1391" width="10" style="2" customWidth="1"/>
    <col min="1392" max="1392" width="9.140625" style="2" customWidth="1"/>
    <col min="1393" max="1393" width="9.85546875" style="2" customWidth="1"/>
    <col min="1394" max="1394" width="9.5703125" style="2" customWidth="1"/>
    <col min="1395" max="1395" width="10.85546875" style="2" customWidth="1"/>
    <col min="1396" max="1396" width="10.5703125" style="2" customWidth="1"/>
    <col min="1397" max="1397" width="10.28515625" style="2" customWidth="1"/>
    <col min="1398" max="1398" width="9.5703125" style="2" customWidth="1"/>
    <col min="1399" max="1399" width="9.28515625" style="2" customWidth="1"/>
    <col min="1400" max="1400" width="10.28515625" style="2" customWidth="1"/>
    <col min="1401" max="1401" width="10" style="2" customWidth="1"/>
    <col min="1402" max="1402" width="9" style="2" customWidth="1"/>
    <col min="1403" max="1403" width="10.42578125" style="2" customWidth="1"/>
    <col min="1404" max="1405" width="9.85546875" style="2" customWidth="1"/>
    <col min="1406" max="1406" width="10" style="2" customWidth="1"/>
    <col min="1407" max="1407" width="8.28515625" style="2" customWidth="1"/>
    <col min="1408" max="1408" width="9.85546875" style="2" customWidth="1"/>
    <col min="1409" max="1409" width="11.5703125" style="2" customWidth="1"/>
    <col min="1410" max="1410" width="9.140625" style="2" bestFit="1" customWidth="1"/>
    <col min="1411" max="1411" width="10" style="2" customWidth="1"/>
    <col min="1412" max="1412" width="8" style="2" customWidth="1"/>
    <col min="1413" max="1413" width="11.28515625" style="2" customWidth="1"/>
    <col min="1414" max="1416" width="10.140625" style="2" bestFit="1" customWidth="1"/>
    <col min="1417" max="1417" width="12.28515625" style="2" customWidth="1"/>
    <col min="1418" max="1419" width="5.7109375" style="2"/>
    <col min="1420" max="1420" width="10.28515625" style="2" bestFit="1" customWidth="1"/>
    <col min="1421" max="1426" width="5.7109375" style="2"/>
    <col min="1427" max="1427" width="22" style="2" customWidth="1"/>
    <col min="1428" max="1428" width="16" style="2" customWidth="1"/>
    <col min="1429" max="1429" width="7.140625" style="2" bestFit="1" customWidth="1"/>
    <col min="1430" max="1430" width="9.28515625" style="2" bestFit="1" customWidth="1"/>
    <col min="1431" max="1491" width="5.7109375" style="2"/>
    <col min="1492" max="1492" width="29.42578125" style="2" customWidth="1"/>
    <col min="1493" max="1493" width="4.7109375" style="2" customWidth="1"/>
    <col min="1494" max="1495" width="9.7109375" style="2" customWidth="1"/>
    <col min="1496" max="1496" width="9.42578125" style="2" customWidth="1"/>
    <col min="1497" max="1497" width="9.140625" style="2" customWidth="1"/>
    <col min="1498" max="1498" width="8.85546875" style="2" customWidth="1"/>
    <col min="1499" max="1499" width="9.7109375" style="2" customWidth="1"/>
    <col min="1500" max="1500" width="8.140625" style="2" customWidth="1"/>
    <col min="1501" max="1501" width="10.42578125" style="2" customWidth="1"/>
    <col min="1502" max="1502" width="9.140625" style="2" customWidth="1"/>
    <col min="1503" max="1503" width="9.85546875" style="2" customWidth="1"/>
    <col min="1504" max="1504" width="9.42578125" style="2" customWidth="1"/>
    <col min="1505" max="1505" width="9.5703125" style="2" customWidth="1"/>
    <col min="1506" max="1506" width="9.28515625" style="2" customWidth="1"/>
    <col min="1507" max="1507" width="9.140625" style="2" customWidth="1"/>
    <col min="1508" max="1508" width="9.28515625" style="2" bestFit="1" customWidth="1"/>
    <col min="1509" max="1509" width="10.5703125" style="2" customWidth="1"/>
    <col min="1510" max="1510" width="7.7109375" style="2" customWidth="1"/>
    <col min="1511" max="1511" width="9.140625" style="2" customWidth="1"/>
    <col min="1512" max="1512" width="7.85546875" style="2" customWidth="1"/>
    <col min="1513" max="1513" width="8.7109375" style="2" customWidth="1"/>
    <col min="1514" max="1514" width="9.42578125" style="2" customWidth="1"/>
    <col min="1515" max="1515" width="10.28515625" style="2" customWidth="1"/>
    <col min="1516" max="1516" width="9.85546875" style="2" customWidth="1"/>
    <col min="1517" max="1517" width="10.140625" style="2" customWidth="1"/>
    <col min="1518" max="1519" width="8.140625" style="2" customWidth="1"/>
    <col min="1520" max="1521" width="7.85546875" style="2" customWidth="1"/>
    <col min="1522" max="1522" width="9.140625" style="2" customWidth="1"/>
    <col min="1523" max="1523" width="9.7109375" style="2" customWidth="1"/>
    <col min="1524" max="1524" width="8.28515625" style="2" customWidth="1"/>
    <col min="1525" max="1525" width="9.140625" style="2" customWidth="1"/>
    <col min="1526" max="1526" width="10" style="2" customWidth="1"/>
    <col min="1527" max="1527" width="10.28515625" style="2" customWidth="1"/>
    <col min="1528" max="1528" width="9.85546875" style="2" customWidth="1"/>
    <col min="1529" max="1529" width="9.42578125" style="2" customWidth="1"/>
    <col min="1530" max="1530" width="9.7109375" style="2" customWidth="1"/>
    <col min="1531" max="1531" width="9.42578125" style="2" customWidth="1"/>
    <col min="1532" max="1532" width="9.28515625" style="2" customWidth="1"/>
    <col min="1533" max="1533" width="10.5703125" style="2" customWidth="1"/>
    <col min="1534" max="1535" width="8.85546875" style="2" customWidth="1"/>
    <col min="1536" max="1536" width="8.28515625" style="2" customWidth="1"/>
    <col min="1537" max="1537" width="8.85546875" style="2" customWidth="1"/>
    <col min="1538" max="1538" width="9.5703125" style="2" customWidth="1"/>
    <col min="1539" max="1539" width="8.42578125" style="2" customWidth="1"/>
    <col min="1540" max="1540" width="9.5703125" style="2" customWidth="1"/>
    <col min="1541" max="1541" width="8.28515625" style="2" customWidth="1"/>
    <col min="1542" max="1542" width="9.28515625" style="2" customWidth="1"/>
    <col min="1543" max="1543" width="9.85546875" style="2" customWidth="1"/>
    <col min="1544" max="1544" width="10.28515625" style="2" customWidth="1"/>
    <col min="1545" max="1545" width="10.42578125" style="2" customWidth="1"/>
    <col min="1546" max="1546" width="9.5703125" style="2" customWidth="1"/>
    <col min="1547" max="1547" width="10.140625" style="2" customWidth="1"/>
    <col min="1548" max="1548" width="9.5703125" style="2" customWidth="1"/>
    <col min="1549" max="1549" width="10.28515625" style="2" customWidth="1"/>
    <col min="1550" max="1550" width="10" style="2" customWidth="1"/>
    <col min="1551" max="1551" width="9.140625" style="2" customWidth="1"/>
    <col min="1552" max="1552" width="10.5703125" style="2" customWidth="1"/>
    <col min="1553" max="1553" width="9.28515625" style="2" customWidth="1"/>
    <col min="1554" max="1555" width="9.42578125" style="2" customWidth="1"/>
    <col min="1556" max="1556" width="9" style="2" customWidth="1"/>
    <col min="1557" max="1557" width="11" style="2" customWidth="1"/>
    <col min="1558" max="1558" width="9.28515625" style="2" customWidth="1"/>
    <col min="1559" max="1559" width="9.7109375" style="2" customWidth="1"/>
    <col min="1560" max="1560" width="10.85546875" style="2" customWidth="1"/>
    <col min="1561" max="1561" width="10.5703125" style="2" customWidth="1"/>
    <col min="1562" max="1562" width="10.28515625" style="2" customWidth="1"/>
    <col min="1563" max="1563" width="9.85546875" style="2" customWidth="1"/>
    <col min="1564" max="1564" width="10.28515625" style="2" customWidth="1"/>
    <col min="1565" max="1565" width="9" style="2" customWidth="1"/>
    <col min="1566" max="1566" width="9.85546875" style="2" customWidth="1"/>
    <col min="1567" max="1567" width="9.42578125" style="2" customWidth="1"/>
    <col min="1568" max="1568" width="9.140625" style="2" customWidth="1"/>
    <col min="1569" max="1569" width="11" style="2" customWidth="1"/>
    <col min="1570" max="1570" width="9.28515625" style="2" customWidth="1"/>
    <col min="1571" max="1571" width="9.5703125" style="2" customWidth="1"/>
    <col min="1572" max="1572" width="10.42578125" style="2" customWidth="1"/>
    <col min="1573" max="1573" width="9" style="2" customWidth="1"/>
    <col min="1574" max="1574" width="9.7109375" style="2" customWidth="1"/>
    <col min="1575" max="1575" width="10" style="2" customWidth="1"/>
    <col min="1576" max="1576" width="10.7109375" style="2" customWidth="1"/>
    <col min="1577" max="1577" width="9.42578125" style="2" customWidth="1"/>
    <col min="1578" max="1578" width="10.28515625" style="2" customWidth="1"/>
    <col min="1579" max="1579" width="9.5703125" style="2" customWidth="1"/>
    <col min="1580" max="1580" width="10" style="2" customWidth="1"/>
    <col min="1581" max="1581" width="9" style="2" customWidth="1"/>
    <col min="1582" max="1582" width="10.5703125" style="2" customWidth="1"/>
    <col min="1583" max="1583" width="11.28515625" style="2" customWidth="1"/>
    <col min="1584" max="1584" width="10.5703125" style="2" customWidth="1"/>
    <col min="1585" max="1585" width="9.7109375" style="2" customWidth="1"/>
    <col min="1586" max="1586" width="9.5703125" style="2" customWidth="1"/>
    <col min="1587" max="1587" width="10.5703125" style="2" customWidth="1"/>
    <col min="1588" max="1588" width="10.42578125" style="2" customWidth="1"/>
    <col min="1589" max="1589" width="9.85546875" style="2" customWidth="1"/>
    <col min="1590" max="1590" width="10.5703125" style="2" bestFit="1" customWidth="1"/>
    <col min="1591" max="1593" width="10.140625" style="2" bestFit="1" customWidth="1"/>
    <col min="1594" max="1594" width="8.85546875" style="2" customWidth="1"/>
    <col min="1595" max="1595" width="9.140625" style="2" bestFit="1" customWidth="1"/>
    <col min="1596" max="1597" width="10.140625" style="2" customWidth="1"/>
    <col min="1598" max="1598" width="10" style="2" customWidth="1"/>
    <col min="1599" max="1599" width="8.28515625" style="2" customWidth="1"/>
    <col min="1600" max="1600" width="9" style="2" customWidth="1"/>
    <col min="1601" max="1601" width="10.5703125" style="2" customWidth="1"/>
    <col min="1602" max="1602" width="10.140625" style="2" customWidth="1"/>
    <col min="1603" max="1603" width="9.7109375" style="2" customWidth="1"/>
    <col min="1604" max="1604" width="9.140625" style="2" customWidth="1"/>
    <col min="1605" max="1605" width="10.140625" style="2" customWidth="1"/>
    <col min="1606" max="1606" width="9" style="2" customWidth="1"/>
    <col min="1607" max="1607" width="9.28515625" style="2" customWidth="1"/>
    <col min="1608" max="1608" width="11" style="2" customWidth="1"/>
    <col min="1609" max="1609" width="10.140625" style="2" customWidth="1"/>
    <col min="1610" max="1610" width="10.7109375" style="2" customWidth="1"/>
    <col min="1611" max="1611" width="9.85546875" style="2" customWidth="1"/>
    <col min="1612" max="1612" width="11" style="2" customWidth="1"/>
    <col min="1613" max="1613" width="10" style="2" customWidth="1"/>
    <col min="1614" max="1614" width="9.140625" style="2" customWidth="1"/>
    <col min="1615" max="1615" width="10.28515625" style="2" customWidth="1"/>
    <col min="1616" max="1616" width="10.5703125" style="2" customWidth="1"/>
    <col min="1617" max="1617" width="9.85546875" style="2" customWidth="1"/>
    <col min="1618" max="1618" width="10.7109375" style="2" customWidth="1"/>
    <col min="1619" max="1619" width="9.42578125" style="2" customWidth="1"/>
    <col min="1620" max="1620" width="10.42578125" style="2" customWidth="1"/>
    <col min="1621" max="1621" width="9.85546875" style="2" customWidth="1"/>
    <col min="1622" max="1622" width="10.7109375" style="2" customWidth="1"/>
    <col min="1623" max="1623" width="10.140625" style="2" customWidth="1"/>
    <col min="1624" max="1624" width="10.28515625" style="2" customWidth="1"/>
    <col min="1625" max="1625" width="9" style="2" customWidth="1"/>
    <col min="1626" max="1626" width="11.140625" style="2" customWidth="1"/>
    <col min="1627" max="1627" width="10.28515625" style="2" customWidth="1"/>
    <col min="1628" max="1628" width="9.42578125" style="2" customWidth="1"/>
    <col min="1629" max="1629" width="10.42578125" style="2" customWidth="1"/>
    <col min="1630" max="1630" width="9.42578125" style="2" customWidth="1"/>
    <col min="1631" max="1631" width="9" style="2" customWidth="1"/>
    <col min="1632" max="1632" width="10.28515625" style="2" customWidth="1"/>
    <col min="1633" max="1633" width="8.42578125" style="2" customWidth="1"/>
    <col min="1634" max="1634" width="9.7109375" style="2" customWidth="1"/>
    <col min="1635" max="1635" width="8.7109375" style="2" customWidth="1"/>
    <col min="1636" max="1636" width="9.42578125" style="2" customWidth="1"/>
    <col min="1637" max="1637" width="10.85546875" style="2" customWidth="1"/>
    <col min="1638" max="1638" width="9.7109375" style="2" customWidth="1"/>
    <col min="1639" max="1639" width="11.42578125" style="2" customWidth="1"/>
    <col min="1640" max="1640" width="11" style="2" customWidth="1"/>
    <col min="1641" max="1641" width="9.42578125" style="2" customWidth="1"/>
    <col min="1642" max="1642" width="10.28515625" style="2" customWidth="1"/>
    <col min="1643" max="1643" width="10.42578125" style="2" customWidth="1"/>
    <col min="1644" max="1644" width="10.28515625" style="2" customWidth="1"/>
    <col min="1645" max="1646" width="9.140625" style="2" bestFit="1" customWidth="1"/>
    <col min="1647" max="1647" width="10" style="2" customWidth="1"/>
    <col min="1648" max="1648" width="9.140625" style="2" customWidth="1"/>
    <col min="1649" max="1649" width="9.85546875" style="2" customWidth="1"/>
    <col min="1650" max="1650" width="9.5703125" style="2" customWidth="1"/>
    <col min="1651" max="1651" width="10.85546875" style="2" customWidth="1"/>
    <col min="1652" max="1652" width="10.5703125" style="2" customWidth="1"/>
    <col min="1653" max="1653" width="10.28515625" style="2" customWidth="1"/>
    <col min="1654" max="1654" width="9.5703125" style="2" customWidth="1"/>
    <col min="1655" max="1655" width="9.28515625" style="2" customWidth="1"/>
    <col min="1656" max="1656" width="10.28515625" style="2" customWidth="1"/>
    <col min="1657" max="1657" width="10" style="2" customWidth="1"/>
    <col min="1658" max="1658" width="9" style="2" customWidth="1"/>
    <col min="1659" max="1659" width="10.42578125" style="2" customWidth="1"/>
    <col min="1660" max="1661" width="9.85546875" style="2" customWidth="1"/>
    <col min="1662" max="1662" width="10" style="2" customWidth="1"/>
    <col min="1663" max="1663" width="8.28515625" style="2" customWidth="1"/>
    <col min="1664" max="1664" width="9.85546875" style="2" customWidth="1"/>
    <col min="1665" max="1665" width="11.5703125" style="2" customWidth="1"/>
    <col min="1666" max="1666" width="9.140625" style="2" bestFit="1" customWidth="1"/>
    <col min="1667" max="1667" width="10" style="2" customWidth="1"/>
    <col min="1668" max="1668" width="8" style="2" customWidth="1"/>
    <col min="1669" max="1669" width="11.28515625" style="2" customWidth="1"/>
    <col min="1670" max="1672" width="10.140625" style="2" bestFit="1" customWidth="1"/>
    <col min="1673" max="1673" width="12.28515625" style="2" customWidth="1"/>
    <col min="1674" max="1675" width="5.7109375" style="2"/>
    <col min="1676" max="1676" width="10.28515625" style="2" bestFit="1" customWidth="1"/>
    <col min="1677" max="1682" width="5.7109375" style="2"/>
    <col min="1683" max="1683" width="22" style="2" customWidth="1"/>
    <col min="1684" max="1684" width="16" style="2" customWidth="1"/>
    <col min="1685" max="1685" width="7.140625" style="2" bestFit="1" customWidth="1"/>
    <col min="1686" max="1686" width="9.28515625" style="2" bestFit="1" customWidth="1"/>
    <col min="1687" max="1747" width="5.7109375" style="2"/>
    <col min="1748" max="1748" width="29.42578125" style="2" customWidth="1"/>
    <col min="1749" max="1749" width="4.7109375" style="2" customWidth="1"/>
    <col min="1750" max="1751" width="9.7109375" style="2" customWidth="1"/>
    <col min="1752" max="1752" width="9.42578125" style="2" customWidth="1"/>
    <col min="1753" max="1753" width="9.140625" style="2" customWidth="1"/>
    <col min="1754" max="1754" width="8.85546875" style="2" customWidth="1"/>
    <col min="1755" max="1755" width="9.7109375" style="2" customWidth="1"/>
    <col min="1756" max="1756" width="8.140625" style="2" customWidth="1"/>
    <col min="1757" max="1757" width="10.42578125" style="2" customWidth="1"/>
    <col min="1758" max="1758" width="9.140625" style="2" customWidth="1"/>
    <col min="1759" max="1759" width="9.85546875" style="2" customWidth="1"/>
    <col min="1760" max="1760" width="9.42578125" style="2" customWidth="1"/>
    <col min="1761" max="1761" width="9.5703125" style="2" customWidth="1"/>
    <col min="1762" max="1762" width="9.28515625" style="2" customWidth="1"/>
    <col min="1763" max="1763" width="9.140625" style="2" customWidth="1"/>
    <col min="1764" max="1764" width="9.28515625" style="2" bestFit="1" customWidth="1"/>
    <col min="1765" max="1765" width="10.5703125" style="2" customWidth="1"/>
    <col min="1766" max="1766" width="7.7109375" style="2" customWidth="1"/>
    <col min="1767" max="1767" width="9.140625" style="2" customWidth="1"/>
    <col min="1768" max="1768" width="7.85546875" style="2" customWidth="1"/>
    <col min="1769" max="1769" width="8.7109375" style="2" customWidth="1"/>
    <col min="1770" max="1770" width="9.42578125" style="2" customWidth="1"/>
    <col min="1771" max="1771" width="10.28515625" style="2" customWidth="1"/>
    <col min="1772" max="1772" width="9.85546875" style="2" customWidth="1"/>
    <col min="1773" max="1773" width="10.140625" style="2" customWidth="1"/>
    <col min="1774" max="1775" width="8.140625" style="2" customWidth="1"/>
    <col min="1776" max="1777" width="7.85546875" style="2" customWidth="1"/>
    <col min="1778" max="1778" width="9.140625" style="2" customWidth="1"/>
    <col min="1779" max="1779" width="9.7109375" style="2" customWidth="1"/>
    <col min="1780" max="1780" width="8.28515625" style="2" customWidth="1"/>
    <col min="1781" max="1781" width="9.140625" style="2" customWidth="1"/>
    <col min="1782" max="1782" width="10" style="2" customWidth="1"/>
    <col min="1783" max="1783" width="10.28515625" style="2" customWidth="1"/>
    <col min="1784" max="1784" width="9.85546875" style="2" customWidth="1"/>
    <col min="1785" max="1785" width="9.42578125" style="2" customWidth="1"/>
    <col min="1786" max="1786" width="9.7109375" style="2" customWidth="1"/>
    <col min="1787" max="1787" width="9.42578125" style="2" customWidth="1"/>
    <col min="1788" max="1788" width="9.28515625" style="2" customWidth="1"/>
    <col min="1789" max="1789" width="10.5703125" style="2" customWidth="1"/>
    <col min="1790" max="1791" width="8.85546875" style="2" customWidth="1"/>
    <col min="1792" max="1792" width="8.28515625" style="2" customWidth="1"/>
    <col min="1793" max="1793" width="8.85546875" style="2" customWidth="1"/>
    <col min="1794" max="1794" width="9.5703125" style="2" customWidth="1"/>
    <col min="1795" max="1795" width="8.42578125" style="2" customWidth="1"/>
    <col min="1796" max="1796" width="9.5703125" style="2" customWidth="1"/>
    <col min="1797" max="1797" width="8.28515625" style="2" customWidth="1"/>
    <col min="1798" max="1798" width="9.28515625" style="2" customWidth="1"/>
    <col min="1799" max="1799" width="9.85546875" style="2" customWidth="1"/>
    <col min="1800" max="1800" width="10.28515625" style="2" customWidth="1"/>
    <col min="1801" max="1801" width="10.42578125" style="2" customWidth="1"/>
    <col min="1802" max="1802" width="9.5703125" style="2" customWidth="1"/>
    <col min="1803" max="1803" width="10.140625" style="2" customWidth="1"/>
    <col min="1804" max="1804" width="9.5703125" style="2" customWidth="1"/>
    <col min="1805" max="1805" width="10.28515625" style="2" customWidth="1"/>
    <col min="1806" max="1806" width="10" style="2" customWidth="1"/>
    <col min="1807" max="1807" width="9.140625" style="2" customWidth="1"/>
    <col min="1808" max="1808" width="10.5703125" style="2" customWidth="1"/>
    <col min="1809" max="1809" width="9.28515625" style="2" customWidth="1"/>
    <col min="1810" max="1811" width="9.42578125" style="2" customWidth="1"/>
    <col min="1812" max="1812" width="9" style="2" customWidth="1"/>
    <col min="1813" max="1813" width="11" style="2" customWidth="1"/>
    <col min="1814" max="1814" width="9.28515625" style="2" customWidth="1"/>
    <col min="1815" max="1815" width="9.7109375" style="2" customWidth="1"/>
    <col min="1816" max="1816" width="10.85546875" style="2" customWidth="1"/>
    <col min="1817" max="1817" width="10.5703125" style="2" customWidth="1"/>
    <col min="1818" max="1818" width="10.28515625" style="2" customWidth="1"/>
    <col min="1819" max="1819" width="9.85546875" style="2" customWidth="1"/>
    <col min="1820" max="1820" width="10.28515625" style="2" customWidth="1"/>
    <col min="1821" max="1821" width="9" style="2" customWidth="1"/>
    <col min="1822" max="1822" width="9.85546875" style="2" customWidth="1"/>
    <col min="1823" max="1823" width="9.42578125" style="2" customWidth="1"/>
    <col min="1824" max="1824" width="9.140625" style="2" customWidth="1"/>
    <col min="1825" max="1825" width="11" style="2" customWidth="1"/>
    <col min="1826" max="1826" width="9.28515625" style="2" customWidth="1"/>
    <col min="1827" max="1827" width="9.5703125" style="2" customWidth="1"/>
    <col min="1828" max="1828" width="10.42578125" style="2" customWidth="1"/>
    <col min="1829" max="1829" width="9" style="2" customWidth="1"/>
    <col min="1830" max="1830" width="9.7109375" style="2" customWidth="1"/>
    <col min="1831" max="1831" width="10" style="2" customWidth="1"/>
    <col min="1832" max="1832" width="10.7109375" style="2" customWidth="1"/>
    <col min="1833" max="1833" width="9.42578125" style="2" customWidth="1"/>
    <col min="1834" max="1834" width="10.28515625" style="2" customWidth="1"/>
    <col min="1835" max="1835" width="9.5703125" style="2" customWidth="1"/>
    <col min="1836" max="1836" width="10" style="2" customWidth="1"/>
    <col min="1837" max="1837" width="9" style="2" customWidth="1"/>
    <col min="1838" max="1838" width="10.5703125" style="2" customWidth="1"/>
    <col min="1839" max="1839" width="11.28515625" style="2" customWidth="1"/>
    <col min="1840" max="1840" width="10.5703125" style="2" customWidth="1"/>
    <col min="1841" max="1841" width="9.7109375" style="2" customWidth="1"/>
    <col min="1842" max="1842" width="9.5703125" style="2" customWidth="1"/>
    <col min="1843" max="1843" width="10.5703125" style="2" customWidth="1"/>
    <col min="1844" max="1844" width="10.42578125" style="2" customWidth="1"/>
    <col min="1845" max="1845" width="9.85546875" style="2" customWidth="1"/>
    <col min="1846" max="1846" width="10.5703125" style="2" bestFit="1" customWidth="1"/>
    <col min="1847" max="1849" width="10.140625" style="2" bestFit="1" customWidth="1"/>
    <col min="1850" max="1850" width="8.85546875" style="2" customWidth="1"/>
    <col min="1851" max="1851" width="9.140625" style="2" bestFit="1" customWidth="1"/>
    <col min="1852" max="1853" width="10.140625" style="2" customWidth="1"/>
    <col min="1854" max="1854" width="10" style="2" customWidth="1"/>
    <col min="1855" max="1855" width="8.28515625" style="2" customWidth="1"/>
    <col min="1856" max="1856" width="9" style="2" customWidth="1"/>
    <col min="1857" max="1857" width="10.5703125" style="2" customWidth="1"/>
    <col min="1858" max="1858" width="10.140625" style="2" customWidth="1"/>
    <col min="1859" max="1859" width="9.7109375" style="2" customWidth="1"/>
    <col min="1860" max="1860" width="9.140625" style="2" customWidth="1"/>
    <col min="1861" max="1861" width="10.140625" style="2" customWidth="1"/>
    <col min="1862" max="1862" width="9" style="2" customWidth="1"/>
    <col min="1863" max="1863" width="9.28515625" style="2" customWidth="1"/>
    <col min="1864" max="1864" width="11" style="2" customWidth="1"/>
    <col min="1865" max="1865" width="10.140625" style="2" customWidth="1"/>
    <col min="1866" max="1866" width="10.7109375" style="2" customWidth="1"/>
    <col min="1867" max="1867" width="9.85546875" style="2" customWidth="1"/>
    <col min="1868" max="1868" width="11" style="2" customWidth="1"/>
    <col min="1869" max="1869" width="10" style="2" customWidth="1"/>
    <col min="1870" max="1870" width="9.140625" style="2" customWidth="1"/>
    <col min="1871" max="1871" width="10.28515625" style="2" customWidth="1"/>
    <col min="1872" max="1872" width="10.5703125" style="2" customWidth="1"/>
    <col min="1873" max="1873" width="9.85546875" style="2" customWidth="1"/>
    <col min="1874" max="1874" width="10.7109375" style="2" customWidth="1"/>
    <col min="1875" max="1875" width="9.42578125" style="2" customWidth="1"/>
    <col min="1876" max="1876" width="10.42578125" style="2" customWidth="1"/>
    <col min="1877" max="1877" width="9.85546875" style="2" customWidth="1"/>
    <col min="1878" max="1878" width="10.7109375" style="2" customWidth="1"/>
    <col min="1879" max="1879" width="10.140625" style="2" customWidth="1"/>
    <col min="1880" max="1880" width="10.28515625" style="2" customWidth="1"/>
    <col min="1881" max="1881" width="9" style="2" customWidth="1"/>
    <col min="1882" max="1882" width="11.140625" style="2" customWidth="1"/>
    <col min="1883" max="1883" width="10.28515625" style="2" customWidth="1"/>
    <col min="1884" max="1884" width="9.42578125" style="2" customWidth="1"/>
    <col min="1885" max="1885" width="10.42578125" style="2" customWidth="1"/>
    <col min="1886" max="1886" width="9.42578125" style="2" customWidth="1"/>
    <col min="1887" max="1887" width="9" style="2" customWidth="1"/>
    <col min="1888" max="1888" width="10.28515625" style="2" customWidth="1"/>
    <col min="1889" max="1889" width="8.42578125" style="2" customWidth="1"/>
    <col min="1890" max="1890" width="9.7109375" style="2" customWidth="1"/>
    <col min="1891" max="1891" width="8.7109375" style="2" customWidth="1"/>
    <col min="1892" max="1892" width="9.42578125" style="2" customWidth="1"/>
    <col min="1893" max="1893" width="10.85546875" style="2" customWidth="1"/>
    <col min="1894" max="1894" width="9.7109375" style="2" customWidth="1"/>
    <col min="1895" max="1895" width="11.42578125" style="2" customWidth="1"/>
    <col min="1896" max="1896" width="11" style="2" customWidth="1"/>
    <col min="1897" max="1897" width="9.42578125" style="2" customWidth="1"/>
    <col min="1898" max="1898" width="10.28515625" style="2" customWidth="1"/>
    <col min="1899" max="1899" width="10.42578125" style="2" customWidth="1"/>
    <col min="1900" max="1900" width="10.28515625" style="2" customWidth="1"/>
    <col min="1901" max="1902" width="9.140625" style="2" bestFit="1" customWidth="1"/>
    <col min="1903" max="1903" width="10" style="2" customWidth="1"/>
    <col min="1904" max="1904" width="9.140625" style="2" customWidth="1"/>
    <col min="1905" max="1905" width="9.85546875" style="2" customWidth="1"/>
    <col min="1906" max="1906" width="9.5703125" style="2" customWidth="1"/>
    <col min="1907" max="1907" width="10.85546875" style="2" customWidth="1"/>
    <col min="1908" max="1908" width="10.5703125" style="2" customWidth="1"/>
    <col min="1909" max="1909" width="10.28515625" style="2" customWidth="1"/>
    <col min="1910" max="1910" width="9.5703125" style="2" customWidth="1"/>
    <col min="1911" max="1911" width="9.28515625" style="2" customWidth="1"/>
    <col min="1912" max="1912" width="10.28515625" style="2" customWidth="1"/>
    <col min="1913" max="1913" width="10" style="2" customWidth="1"/>
    <col min="1914" max="1914" width="9" style="2" customWidth="1"/>
    <col min="1915" max="1915" width="10.42578125" style="2" customWidth="1"/>
    <col min="1916" max="1917" width="9.85546875" style="2" customWidth="1"/>
    <col min="1918" max="1918" width="10" style="2" customWidth="1"/>
    <col min="1919" max="1919" width="8.28515625" style="2" customWidth="1"/>
    <col min="1920" max="1920" width="9.85546875" style="2" customWidth="1"/>
    <col min="1921" max="1921" width="11.5703125" style="2" customWidth="1"/>
    <col min="1922" max="1922" width="9.140625" style="2" bestFit="1" customWidth="1"/>
    <col min="1923" max="1923" width="10" style="2" customWidth="1"/>
    <col min="1924" max="1924" width="8" style="2" customWidth="1"/>
    <col min="1925" max="1925" width="11.28515625" style="2" customWidth="1"/>
    <col min="1926" max="1928" width="10.140625" style="2" bestFit="1" customWidth="1"/>
    <col min="1929" max="1929" width="12.28515625" style="2" customWidth="1"/>
    <col min="1930" max="1931" width="5.7109375" style="2"/>
    <col min="1932" max="1932" width="10.28515625" style="2" bestFit="1" customWidth="1"/>
    <col min="1933" max="1938" width="5.7109375" style="2"/>
    <col min="1939" max="1939" width="22" style="2" customWidth="1"/>
    <col min="1940" max="1940" width="16" style="2" customWidth="1"/>
    <col min="1941" max="1941" width="7.140625" style="2" bestFit="1" customWidth="1"/>
    <col min="1942" max="1942" width="9.28515625" style="2" bestFit="1" customWidth="1"/>
    <col min="1943" max="2003" width="5.7109375" style="2"/>
    <col min="2004" max="2004" width="29.42578125" style="2" customWidth="1"/>
    <col min="2005" max="2005" width="4.7109375" style="2" customWidth="1"/>
    <col min="2006" max="2007" width="9.7109375" style="2" customWidth="1"/>
    <col min="2008" max="2008" width="9.42578125" style="2" customWidth="1"/>
    <col min="2009" max="2009" width="9.140625" style="2" customWidth="1"/>
    <col min="2010" max="2010" width="8.85546875" style="2" customWidth="1"/>
    <col min="2011" max="2011" width="9.7109375" style="2" customWidth="1"/>
    <col min="2012" max="2012" width="8.140625" style="2" customWidth="1"/>
    <col min="2013" max="2013" width="10.42578125" style="2" customWidth="1"/>
    <col min="2014" max="2014" width="9.140625" style="2" customWidth="1"/>
    <col min="2015" max="2015" width="9.85546875" style="2" customWidth="1"/>
    <col min="2016" max="2016" width="9.42578125" style="2" customWidth="1"/>
    <col min="2017" max="2017" width="9.5703125" style="2" customWidth="1"/>
    <col min="2018" max="2018" width="9.28515625" style="2" customWidth="1"/>
    <col min="2019" max="2019" width="9.140625" style="2" customWidth="1"/>
    <col min="2020" max="2020" width="9.28515625" style="2" bestFit="1" customWidth="1"/>
    <col min="2021" max="2021" width="10.5703125" style="2" customWidth="1"/>
    <col min="2022" max="2022" width="7.7109375" style="2" customWidth="1"/>
    <col min="2023" max="2023" width="9.140625" style="2" customWidth="1"/>
    <col min="2024" max="2024" width="7.85546875" style="2" customWidth="1"/>
    <col min="2025" max="2025" width="8.7109375" style="2" customWidth="1"/>
    <col min="2026" max="2026" width="9.42578125" style="2" customWidth="1"/>
    <col min="2027" max="2027" width="10.28515625" style="2" customWidth="1"/>
    <col min="2028" max="2028" width="9.85546875" style="2" customWidth="1"/>
    <col min="2029" max="2029" width="10.140625" style="2" customWidth="1"/>
    <col min="2030" max="2031" width="8.140625" style="2" customWidth="1"/>
    <col min="2032" max="2033" width="7.85546875" style="2" customWidth="1"/>
    <col min="2034" max="2034" width="9.140625" style="2" customWidth="1"/>
    <col min="2035" max="2035" width="9.7109375" style="2" customWidth="1"/>
    <col min="2036" max="2036" width="8.28515625" style="2" customWidth="1"/>
    <col min="2037" max="2037" width="9.140625" style="2" customWidth="1"/>
    <col min="2038" max="2038" width="10" style="2" customWidth="1"/>
    <col min="2039" max="2039" width="10.28515625" style="2" customWidth="1"/>
    <col min="2040" max="2040" width="9.85546875" style="2" customWidth="1"/>
    <col min="2041" max="2041" width="9.42578125" style="2" customWidth="1"/>
    <col min="2042" max="2042" width="9.7109375" style="2" customWidth="1"/>
    <col min="2043" max="2043" width="9.42578125" style="2" customWidth="1"/>
    <col min="2044" max="2044" width="9.28515625" style="2" customWidth="1"/>
    <col min="2045" max="2045" width="10.5703125" style="2" customWidth="1"/>
    <col min="2046" max="2047" width="8.85546875" style="2" customWidth="1"/>
    <col min="2048" max="2048" width="8.28515625" style="2" customWidth="1"/>
    <col min="2049" max="2049" width="8.85546875" style="2" customWidth="1"/>
    <col min="2050" max="2050" width="9.5703125" style="2" customWidth="1"/>
    <col min="2051" max="2051" width="8.42578125" style="2" customWidth="1"/>
    <col min="2052" max="2052" width="9.5703125" style="2" customWidth="1"/>
    <col min="2053" max="2053" width="8.28515625" style="2" customWidth="1"/>
    <col min="2054" max="2054" width="9.28515625" style="2" customWidth="1"/>
    <col min="2055" max="2055" width="9.85546875" style="2" customWidth="1"/>
    <col min="2056" max="2056" width="10.28515625" style="2" customWidth="1"/>
    <col min="2057" max="2057" width="10.42578125" style="2" customWidth="1"/>
    <col min="2058" max="2058" width="9.5703125" style="2" customWidth="1"/>
    <col min="2059" max="2059" width="10.140625" style="2" customWidth="1"/>
    <col min="2060" max="2060" width="9.5703125" style="2" customWidth="1"/>
    <col min="2061" max="2061" width="10.28515625" style="2" customWidth="1"/>
    <col min="2062" max="2062" width="10" style="2" customWidth="1"/>
    <col min="2063" max="2063" width="9.140625" style="2" customWidth="1"/>
    <col min="2064" max="2064" width="10.5703125" style="2" customWidth="1"/>
    <col min="2065" max="2065" width="9.28515625" style="2" customWidth="1"/>
    <col min="2066" max="2067" width="9.42578125" style="2" customWidth="1"/>
    <col min="2068" max="2068" width="9" style="2" customWidth="1"/>
    <col min="2069" max="2069" width="11" style="2" customWidth="1"/>
    <col min="2070" max="2070" width="9.28515625" style="2" customWidth="1"/>
    <col min="2071" max="2071" width="9.7109375" style="2" customWidth="1"/>
    <col min="2072" max="2072" width="10.85546875" style="2" customWidth="1"/>
    <col min="2073" max="2073" width="10.5703125" style="2" customWidth="1"/>
    <col min="2074" max="2074" width="10.28515625" style="2" customWidth="1"/>
    <col min="2075" max="2075" width="9.85546875" style="2" customWidth="1"/>
    <col min="2076" max="2076" width="10.28515625" style="2" customWidth="1"/>
    <col min="2077" max="2077" width="9" style="2" customWidth="1"/>
    <col min="2078" max="2078" width="9.85546875" style="2" customWidth="1"/>
    <col min="2079" max="2079" width="9.42578125" style="2" customWidth="1"/>
    <col min="2080" max="2080" width="9.140625" style="2" customWidth="1"/>
    <col min="2081" max="2081" width="11" style="2" customWidth="1"/>
    <col min="2082" max="2082" width="9.28515625" style="2" customWidth="1"/>
    <col min="2083" max="2083" width="9.5703125" style="2" customWidth="1"/>
    <col min="2084" max="2084" width="10.42578125" style="2" customWidth="1"/>
    <col min="2085" max="2085" width="9" style="2" customWidth="1"/>
    <col min="2086" max="2086" width="9.7109375" style="2" customWidth="1"/>
    <col min="2087" max="2087" width="10" style="2" customWidth="1"/>
    <col min="2088" max="2088" width="10.7109375" style="2" customWidth="1"/>
    <col min="2089" max="2089" width="9.42578125" style="2" customWidth="1"/>
    <col min="2090" max="2090" width="10.28515625" style="2" customWidth="1"/>
    <col min="2091" max="2091" width="9.5703125" style="2" customWidth="1"/>
    <col min="2092" max="2092" width="10" style="2" customWidth="1"/>
    <col min="2093" max="2093" width="9" style="2" customWidth="1"/>
    <col min="2094" max="2094" width="10.5703125" style="2" customWidth="1"/>
    <col min="2095" max="2095" width="11.28515625" style="2" customWidth="1"/>
    <col min="2096" max="2096" width="10.5703125" style="2" customWidth="1"/>
    <col min="2097" max="2097" width="9.7109375" style="2" customWidth="1"/>
    <col min="2098" max="2098" width="9.5703125" style="2" customWidth="1"/>
    <col min="2099" max="2099" width="10.5703125" style="2" customWidth="1"/>
    <col min="2100" max="2100" width="10.42578125" style="2" customWidth="1"/>
    <col min="2101" max="2101" width="9.85546875" style="2" customWidth="1"/>
    <col min="2102" max="2102" width="10.5703125" style="2" bestFit="1" customWidth="1"/>
    <col min="2103" max="2105" width="10.140625" style="2" bestFit="1" customWidth="1"/>
    <col min="2106" max="2106" width="8.85546875" style="2" customWidth="1"/>
    <col min="2107" max="2107" width="9.140625" style="2" bestFit="1" customWidth="1"/>
    <col min="2108" max="2109" width="10.140625" style="2" customWidth="1"/>
    <col min="2110" max="2110" width="10" style="2" customWidth="1"/>
    <col min="2111" max="2111" width="8.28515625" style="2" customWidth="1"/>
    <col min="2112" max="2112" width="9" style="2" customWidth="1"/>
    <col min="2113" max="2113" width="10.5703125" style="2" customWidth="1"/>
    <col min="2114" max="2114" width="10.140625" style="2" customWidth="1"/>
    <col min="2115" max="2115" width="9.7109375" style="2" customWidth="1"/>
    <col min="2116" max="2116" width="9.140625" style="2" customWidth="1"/>
    <col min="2117" max="2117" width="10.140625" style="2" customWidth="1"/>
    <col min="2118" max="2118" width="9" style="2" customWidth="1"/>
    <col min="2119" max="2119" width="9.28515625" style="2" customWidth="1"/>
    <col min="2120" max="2120" width="11" style="2" customWidth="1"/>
    <col min="2121" max="2121" width="10.140625" style="2" customWidth="1"/>
    <col min="2122" max="2122" width="10.7109375" style="2" customWidth="1"/>
    <col min="2123" max="2123" width="9.85546875" style="2" customWidth="1"/>
    <col min="2124" max="2124" width="11" style="2" customWidth="1"/>
    <col min="2125" max="2125" width="10" style="2" customWidth="1"/>
    <col min="2126" max="2126" width="9.140625" style="2" customWidth="1"/>
    <col min="2127" max="2127" width="10.28515625" style="2" customWidth="1"/>
    <col min="2128" max="2128" width="10.5703125" style="2" customWidth="1"/>
    <col min="2129" max="2129" width="9.85546875" style="2" customWidth="1"/>
    <col min="2130" max="2130" width="10.7109375" style="2" customWidth="1"/>
    <col min="2131" max="2131" width="9.42578125" style="2" customWidth="1"/>
    <col min="2132" max="2132" width="10.42578125" style="2" customWidth="1"/>
    <col min="2133" max="2133" width="9.85546875" style="2" customWidth="1"/>
    <col min="2134" max="2134" width="10.7109375" style="2" customWidth="1"/>
    <col min="2135" max="2135" width="10.140625" style="2" customWidth="1"/>
    <col min="2136" max="2136" width="10.28515625" style="2" customWidth="1"/>
    <col min="2137" max="2137" width="9" style="2" customWidth="1"/>
    <col min="2138" max="2138" width="11.140625" style="2" customWidth="1"/>
    <col min="2139" max="2139" width="10.28515625" style="2" customWidth="1"/>
    <col min="2140" max="2140" width="9.42578125" style="2" customWidth="1"/>
    <col min="2141" max="2141" width="10.42578125" style="2" customWidth="1"/>
    <col min="2142" max="2142" width="9.42578125" style="2" customWidth="1"/>
    <col min="2143" max="2143" width="9" style="2" customWidth="1"/>
    <col min="2144" max="2144" width="10.28515625" style="2" customWidth="1"/>
    <col min="2145" max="2145" width="8.42578125" style="2" customWidth="1"/>
    <col min="2146" max="2146" width="9.7109375" style="2" customWidth="1"/>
    <col min="2147" max="2147" width="8.7109375" style="2" customWidth="1"/>
    <col min="2148" max="2148" width="9.42578125" style="2" customWidth="1"/>
    <col min="2149" max="2149" width="10.85546875" style="2" customWidth="1"/>
    <col min="2150" max="2150" width="9.7109375" style="2" customWidth="1"/>
    <col min="2151" max="2151" width="11.42578125" style="2" customWidth="1"/>
    <col min="2152" max="2152" width="11" style="2" customWidth="1"/>
    <col min="2153" max="2153" width="9.42578125" style="2" customWidth="1"/>
    <col min="2154" max="2154" width="10.28515625" style="2" customWidth="1"/>
    <col min="2155" max="2155" width="10.42578125" style="2" customWidth="1"/>
    <col min="2156" max="2156" width="10.28515625" style="2" customWidth="1"/>
    <col min="2157" max="2158" width="9.140625" style="2" bestFit="1" customWidth="1"/>
    <col min="2159" max="2159" width="10" style="2" customWidth="1"/>
    <col min="2160" max="2160" width="9.140625" style="2" customWidth="1"/>
    <col min="2161" max="2161" width="9.85546875" style="2" customWidth="1"/>
    <col min="2162" max="2162" width="9.5703125" style="2" customWidth="1"/>
    <col min="2163" max="2163" width="10.85546875" style="2" customWidth="1"/>
    <col min="2164" max="2164" width="10.5703125" style="2" customWidth="1"/>
    <col min="2165" max="2165" width="10.28515625" style="2" customWidth="1"/>
    <col min="2166" max="2166" width="9.5703125" style="2" customWidth="1"/>
    <col min="2167" max="2167" width="9.28515625" style="2" customWidth="1"/>
    <col min="2168" max="2168" width="10.28515625" style="2" customWidth="1"/>
    <col min="2169" max="2169" width="10" style="2" customWidth="1"/>
    <col min="2170" max="2170" width="9" style="2" customWidth="1"/>
    <col min="2171" max="2171" width="10.42578125" style="2" customWidth="1"/>
    <col min="2172" max="2173" width="9.85546875" style="2" customWidth="1"/>
    <col min="2174" max="2174" width="10" style="2" customWidth="1"/>
    <col min="2175" max="2175" width="8.28515625" style="2" customWidth="1"/>
    <col min="2176" max="2176" width="9.85546875" style="2" customWidth="1"/>
    <col min="2177" max="2177" width="11.5703125" style="2" customWidth="1"/>
    <col min="2178" max="2178" width="9.140625" style="2" bestFit="1" customWidth="1"/>
    <col min="2179" max="2179" width="10" style="2" customWidth="1"/>
    <col min="2180" max="2180" width="8" style="2" customWidth="1"/>
    <col min="2181" max="2181" width="11.28515625" style="2" customWidth="1"/>
    <col min="2182" max="2184" width="10.140625" style="2" bestFit="1" customWidth="1"/>
    <col min="2185" max="2185" width="12.28515625" style="2" customWidth="1"/>
    <col min="2186" max="2187" width="5.7109375" style="2"/>
    <col min="2188" max="2188" width="10.28515625" style="2" bestFit="1" customWidth="1"/>
    <col min="2189" max="2194" width="5.7109375" style="2"/>
    <col min="2195" max="2195" width="22" style="2" customWidth="1"/>
    <col min="2196" max="2196" width="16" style="2" customWidth="1"/>
    <col min="2197" max="2197" width="7.140625" style="2" bestFit="1" customWidth="1"/>
    <col min="2198" max="2198" width="9.28515625" style="2" bestFit="1" customWidth="1"/>
    <col min="2199" max="2259" width="5.7109375" style="2"/>
    <col min="2260" max="2260" width="29.42578125" style="2" customWidth="1"/>
    <col min="2261" max="2261" width="4.7109375" style="2" customWidth="1"/>
    <col min="2262" max="2263" width="9.7109375" style="2" customWidth="1"/>
    <col min="2264" max="2264" width="9.42578125" style="2" customWidth="1"/>
    <col min="2265" max="2265" width="9.140625" style="2" customWidth="1"/>
    <col min="2266" max="2266" width="8.85546875" style="2" customWidth="1"/>
    <col min="2267" max="2267" width="9.7109375" style="2" customWidth="1"/>
    <col min="2268" max="2268" width="8.140625" style="2" customWidth="1"/>
    <col min="2269" max="2269" width="10.42578125" style="2" customWidth="1"/>
    <col min="2270" max="2270" width="9.140625" style="2" customWidth="1"/>
    <col min="2271" max="2271" width="9.85546875" style="2" customWidth="1"/>
    <col min="2272" max="2272" width="9.42578125" style="2" customWidth="1"/>
    <col min="2273" max="2273" width="9.5703125" style="2" customWidth="1"/>
    <col min="2274" max="2274" width="9.28515625" style="2" customWidth="1"/>
    <col min="2275" max="2275" width="9.140625" style="2" customWidth="1"/>
    <col min="2276" max="2276" width="9.28515625" style="2" bestFit="1" customWidth="1"/>
    <col min="2277" max="2277" width="10.5703125" style="2" customWidth="1"/>
    <col min="2278" max="2278" width="7.7109375" style="2" customWidth="1"/>
    <col min="2279" max="2279" width="9.140625" style="2" customWidth="1"/>
    <col min="2280" max="2280" width="7.85546875" style="2" customWidth="1"/>
    <col min="2281" max="2281" width="8.7109375" style="2" customWidth="1"/>
    <col min="2282" max="2282" width="9.42578125" style="2" customWidth="1"/>
    <col min="2283" max="2283" width="10.28515625" style="2" customWidth="1"/>
    <col min="2284" max="2284" width="9.85546875" style="2" customWidth="1"/>
    <col min="2285" max="2285" width="10.140625" style="2" customWidth="1"/>
    <col min="2286" max="2287" width="8.140625" style="2" customWidth="1"/>
    <col min="2288" max="2289" width="7.85546875" style="2" customWidth="1"/>
    <col min="2290" max="2290" width="9.140625" style="2" customWidth="1"/>
    <col min="2291" max="2291" width="9.7109375" style="2" customWidth="1"/>
    <col min="2292" max="2292" width="8.28515625" style="2" customWidth="1"/>
    <col min="2293" max="2293" width="9.140625" style="2" customWidth="1"/>
    <col min="2294" max="2294" width="10" style="2" customWidth="1"/>
    <col min="2295" max="2295" width="10.28515625" style="2" customWidth="1"/>
    <col min="2296" max="2296" width="9.85546875" style="2" customWidth="1"/>
    <col min="2297" max="2297" width="9.42578125" style="2" customWidth="1"/>
    <col min="2298" max="2298" width="9.7109375" style="2" customWidth="1"/>
    <col min="2299" max="2299" width="9.42578125" style="2" customWidth="1"/>
    <col min="2300" max="2300" width="9.28515625" style="2" customWidth="1"/>
    <col min="2301" max="2301" width="10.5703125" style="2" customWidth="1"/>
    <col min="2302" max="2303" width="8.85546875" style="2" customWidth="1"/>
    <col min="2304" max="2304" width="8.28515625" style="2" customWidth="1"/>
    <col min="2305" max="2305" width="8.85546875" style="2" customWidth="1"/>
    <col min="2306" max="2306" width="9.5703125" style="2" customWidth="1"/>
    <col min="2307" max="2307" width="8.42578125" style="2" customWidth="1"/>
    <col min="2308" max="2308" width="9.5703125" style="2" customWidth="1"/>
    <col min="2309" max="2309" width="8.28515625" style="2" customWidth="1"/>
    <col min="2310" max="2310" width="9.28515625" style="2" customWidth="1"/>
    <col min="2311" max="2311" width="9.85546875" style="2" customWidth="1"/>
    <col min="2312" max="2312" width="10.28515625" style="2" customWidth="1"/>
    <col min="2313" max="2313" width="10.42578125" style="2" customWidth="1"/>
    <col min="2314" max="2314" width="9.5703125" style="2" customWidth="1"/>
    <col min="2315" max="2315" width="10.140625" style="2" customWidth="1"/>
    <col min="2316" max="2316" width="9.5703125" style="2" customWidth="1"/>
    <col min="2317" max="2317" width="10.28515625" style="2" customWidth="1"/>
    <col min="2318" max="2318" width="10" style="2" customWidth="1"/>
    <col min="2319" max="2319" width="9.140625" style="2" customWidth="1"/>
    <col min="2320" max="2320" width="10.5703125" style="2" customWidth="1"/>
    <col min="2321" max="2321" width="9.28515625" style="2" customWidth="1"/>
    <col min="2322" max="2323" width="9.42578125" style="2" customWidth="1"/>
    <col min="2324" max="2324" width="9" style="2" customWidth="1"/>
    <col min="2325" max="2325" width="11" style="2" customWidth="1"/>
    <col min="2326" max="2326" width="9.28515625" style="2" customWidth="1"/>
    <col min="2327" max="2327" width="9.7109375" style="2" customWidth="1"/>
    <col min="2328" max="2328" width="10.85546875" style="2" customWidth="1"/>
    <col min="2329" max="2329" width="10.5703125" style="2" customWidth="1"/>
    <col min="2330" max="2330" width="10.28515625" style="2" customWidth="1"/>
    <col min="2331" max="2331" width="9.85546875" style="2" customWidth="1"/>
    <col min="2332" max="2332" width="10.28515625" style="2" customWidth="1"/>
    <col min="2333" max="2333" width="9" style="2" customWidth="1"/>
    <col min="2334" max="2334" width="9.85546875" style="2" customWidth="1"/>
    <col min="2335" max="2335" width="9.42578125" style="2" customWidth="1"/>
    <col min="2336" max="2336" width="9.140625" style="2" customWidth="1"/>
    <col min="2337" max="2337" width="11" style="2" customWidth="1"/>
    <col min="2338" max="2338" width="9.28515625" style="2" customWidth="1"/>
    <col min="2339" max="2339" width="9.5703125" style="2" customWidth="1"/>
    <col min="2340" max="2340" width="10.42578125" style="2" customWidth="1"/>
    <col min="2341" max="2341" width="9" style="2" customWidth="1"/>
    <col min="2342" max="2342" width="9.7109375" style="2" customWidth="1"/>
    <col min="2343" max="2343" width="10" style="2" customWidth="1"/>
    <col min="2344" max="2344" width="10.7109375" style="2" customWidth="1"/>
    <col min="2345" max="2345" width="9.42578125" style="2" customWidth="1"/>
    <col min="2346" max="2346" width="10.28515625" style="2" customWidth="1"/>
    <col min="2347" max="2347" width="9.5703125" style="2" customWidth="1"/>
    <col min="2348" max="2348" width="10" style="2" customWidth="1"/>
    <col min="2349" max="2349" width="9" style="2" customWidth="1"/>
    <col min="2350" max="2350" width="10.5703125" style="2" customWidth="1"/>
    <col min="2351" max="2351" width="11.28515625" style="2" customWidth="1"/>
    <col min="2352" max="2352" width="10.5703125" style="2" customWidth="1"/>
    <col min="2353" max="2353" width="9.7109375" style="2" customWidth="1"/>
    <col min="2354" max="2354" width="9.5703125" style="2" customWidth="1"/>
    <col min="2355" max="2355" width="10.5703125" style="2" customWidth="1"/>
    <col min="2356" max="2356" width="10.42578125" style="2" customWidth="1"/>
    <col min="2357" max="2357" width="9.85546875" style="2" customWidth="1"/>
    <col min="2358" max="2358" width="10.5703125" style="2" bestFit="1" customWidth="1"/>
    <col min="2359" max="2361" width="10.140625" style="2" bestFit="1" customWidth="1"/>
    <col min="2362" max="2362" width="8.85546875" style="2" customWidth="1"/>
    <col min="2363" max="2363" width="9.140625" style="2" bestFit="1" customWidth="1"/>
    <col min="2364" max="2365" width="10.140625" style="2" customWidth="1"/>
    <col min="2366" max="2366" width="10" style="2" customWidth="1"/>
    <col min="2367" max="2367" width="8.28515625" style="2" customWidth="1"/>
    <col min="2368" max="2368" width="9" style="2" customWidth="1"/>
    <col min="2369" max="2369" width="10.5703125" style="2" customWidth="1"/>
    <col min="2370" max="2370" width="10.140625" style="2" customWidth="1"/>
    <col min="2371" max="2371" width="9.7109375" style="2" customWidth="1"/>
    <col min="2372" max="2372" width="9.140625" style="2" customWidth="1"/>
    <col min="2373" max="2373" width="10.140625" style="2" customWidth="1"/>
    <col min="2374" max="2374" width="9" style="2" customWidth="1"/>
    <col min="2375" max="2375" width="9.28515625" style="2" customWidth="1"/>
    <col min="2376" max="2376" width="11" style="2" customWidth="1"/>
    <col min="2377" max="2377" width="10.140625" style="2" customWidth="1"/>
    <col min="2378" max="2378" width="10.7109375" style="2" customWidth="1"/>
    <col min="2379" max="2379" width="9.85546875" style="2" customWidth="1"/>
    <col min="2380" max="2380" width="11" style="2" customWidth="1"/>
    <col min="2381" max="2381" width="10" style="2" customWidth="1"/>
    <col min="2382" max="2382" width="9.140625" style="2" customWidth="1"/>
    <col min="2383" max="2383" width="10.28515625" style="2" customWidth="1"/>
    <col min="2384" max="2384" width="10.5703125" style="2" customWidth="1"/>
    <col min="2385" max="2385" width="9.85546875" style="2" customWidth="1"/>
    <col min="2386" max="2386" width="10.7109375" style="2" customWidth="1"/>
    <col min="2387" max="2387" width="9.42578125" style="2" customWidth="1"/>
    <col min="2388" max="2388" width="10.42578125" style="2" customWidth="1"/>
    <col min="2389" max="2389" width="9.85546875" style="2" customWidth="1"/>
    <col min="2390" max="2390" width="10.7109375" style="2" customWidth="1"/>
    <col min="2391" max="2391" width="10.140625" style="2" customWidth="1"/>
    <col min="2392" max="2392" width="10.28515625" style="2" customWidth="1"/>
    <col min="2393" max="2393" width="9" style="2" customWidth="1"/>
    <col min="2394" max="2394" width="11.140625" style="2" customWidth="1"/>
    <col min="2395" max="2395" width="10.28515625" style="2" customWidth="1"/>
    <col min="2396" max="2396" width="9.42578125" style="2" customWidth="1"/>
    <col min="2397" max="2397" width="10.42578125" style="2" customWidth="1"/>
    <col min="2398" max="2398" width="9.42578125" style="2" customWidth="1"/>
    <col min="2399" max="2399" width="9" style="2" customWidth="1"/>
    <col min="2400" max="2400" width="10.28515625" style="2" customWidth="1"/>
    <col min="2401" max="2401" width="8.42578125" style="2" customWidth="1"/>
    <col min="2402" max="2402" width="9.7109375" style="2" customWidth="1"/>
    <col min="2403" max="2403" width="8.7109375" style="2" customWidth="1"/>
    <col min="2404" max="2404" width="9.42578125" style="2" customWidth="1"/>
    <col min="2405" max="2405" width="10.85546875" style="2" customWidth="1"/>
    <col min="2406" max="2406" width="9.7109375" style="2" customWidth="1"/>
    <col min="2407" max="2407" width="11.42578125" style="2" customWidth="1"/>
    <col min="2408" max="2408" width="11" style="2" customWidth="1"/>
    <col min="2409" max="2409" width="9.42578125" style="2" customWidth="1"/>
    <col min="2410" max="2410" width="10.28515625" style="2" customWidth="1"/>
    <col min="2411" max="2411" width="10.42578125" style="2" customWidth="1"/>
    <col min="2412" max="2412" width="10.28515625" style="2" customWidth="1"/>
    <col min="2413" max="2414" width="9.140625" style="2" bestFit="1" customWidth="1"/>
    <col min="2415" max="2415" width="10" style="2" customWidth="1"/>
    <col min="2416" max="2416" width="9.140625" style="2" customWidth="1"/>
    <col min="2417" max="2417" width="9.85546875" style="2" customWidth="1"/>
    <col min="2418" max="2418" width="9.5703125" style="2" customWidth="1"/>
    <col min="2419" max="2419" width="10.85546875" style="2" customWidth="1"/>
    <col min="2420" max="2420" width="10.5703125" style="2" customWidth="1"/>
    <col min="2421" max="2421" width="10.28515625" style="2" customWidth="1"/>
    <col min="2422" max="2422" width="9.5703125" style="2" customWidth="1"/>
    <col min="2423" max="2423" width="9.28515625" style="2" customWidth="1"/>
    <col min="2424" max="2424" width="10.28515625" style="2" customWidth="1"/>
    <col min="2425" max="2425" width="10" style="2" customWidth="1"/>
    <col min="2426" max="2426" width="9" style="2" customWidth="1"/>
    <col min="2427" max="2427" width="10.42578125" style="2" customWidth="1"/>
    <col min="2428" max="2429" width="9.85546875" style="2" customWidth="1"/>
    <col min="2430" max="2430" width="10" style="2" customWidth="1"/>
    <col min="2431" max="2431" width="8.28515625" style="2" customWidth="1"/>
    <col min="2432" max="2432" width="9.85546875" style="2" customWidth="1"/>
    <col min="2433" max="2433" width="11.5703125" style="2" customWidth="1"/>
    <col min="2434" max="2434" width="9.140625" style="2" bestFit="1" customWidth="1"/>
    <col min="2435" max="2435" width="10" style="2" customWidth="1"/>
    <col min="2436" max="2436" width="8" style="2" customWidth="1"/>
    <col min="2437" max="2437" width="11.28515625" style="2" customWidth="1"/>
    <col min="2438" max="2440" width="10.140625" style="2" bestFit="1" customWidth="1"/>
    <col min="2441" max="2441" width="12.28515625" style="2" customWidth="1"/>
    <col min="2442" max="2443" width="5.7109375" style="2"/>
    <col min="2444" max="2444" width="10.28515625" style="2" bestFit="1" customWidth="1"/>
    <col min="2445" max="2450" width="5.7109375" style="2"/>
    <col min="2451" max="2451" width="22" style="2" customWidth="1"/>
    <col min="2452" max="2452" width="16" style="2" customWidth="1"/>
    <col min="2453" max="2453" width="7.140625" style="2" bestFit="1" customWidth="1"/>
    <col min="2454" max="2454" width="9.28515625" style="2" bestFit="1" customWidth="1"/>
    <col min="2455" max="2515" width="5.7109375" style="2"/>
    <col min="2516" max="2516" width="29.42578125" style="2" customWidth="1"/>
    <col min="2517" max="2517" width="4.7109375" style="2" customWidth="1"/>
    <col min="2518" max="2519" width="9.7109375" style="2" customWidth="1"/>
    <col min="2520" max="2520" width="9.42578125" style="2" customWidth="1"/>
    <col min="2521" max="2521" width="9.140625" style="2" customWidth="1"/>
    <col min="2522" max="2522" width="8.85546875" style="2" customWidth="1"/>
    <col min="2523" max="2523" width="9.7109375" style="2" customWidth="1"/>
    <col min="2524" max="2524" width="8.140625" style="2" customWidth="1"/>
    <col min="2525" max="2525" width="10.42578125" style="2" customWidth="1"/>
    <col min="2526" max="2526" width="9.140625" style="2" customWidth="1"/>
    <col min="2527" max="2527" width="9.85546875" style="2" customWidth="1"/>
    <col min="2528" max="2528" width="9.42578125" style="2" customWidth="1"/>
    <col min="2529" max="2529" width="9.5703125" style="2" customWidth="1"/>
    <col min="2530" max="2530" width="9.28515625" style="2" customWidth="1"/>
    <col min="2531" max="2531" width="9.140625" style="2" customWidth="1"/>
    <col min="2532" max="2532" width="9.28515625" style="2" bestFit="1" customWidth="1"/>
    <col min="2533" max="2533" width="10.5703125" style="2" customWidth="1"/>
    <col min="2534" max="2534" width="7.7109375" style="2" customWidth="1"/>
    <col min="2535" max="2535" width="9.140625" style="2" customWidth="1"/>
    <col min="2536" max="2536" width="7.85546875" style="2" customWidth="1"/>
    <col min="2537" max="2537" width="8.7109375" style="2" customWidth="1"/>
    <col min="2538" max="2538" width="9.42578125" style="2" customWidth="1"/>
    <col min="2539" max="2539" width="10.28515625" style="2" customWidth="1"/>
    <col min="2540" max="2540" width="9.85546875" style="2" customWidth="1"/>
    <col min="2541" max="2541" width="10.140625" style="2" customWidth="1"/>
    <col min="2542" max="2543" width="8.140625" style="2" customWidth="1"/>
    <col min="2544" max="2545" width="7.85546875" style="2" customWidth="1"/>
    <col min="2546" max="2546" width="9.140625" style="2" customWidth="1"/>
    <col min="2547" max="2547" width="9.7109375" style="2" customWidth="1"/>
    <col min="2548" max="2548" width="8.28515625" style="2" customWidth="1"/>
    <col min="2549" max="2549" width="9.140625" style="2" customWidth="1"/>
    <col min="2550" max="2550" width="10" style="2" customWidth="1"/>
    <col min="2551" max="2551" width="10.28515625" style="2" customWidth="1"/>
    <col min="2552" max="2552" width="9.85546875" style="2" customWidth="1"/>
    <col min="2553" max="2553" width="9.42578125" style="2" customWidth="1"/>
    <col min="2554" max="2554" width="9.7109375" style="2" customWidth="1"/>
    <col min="2555" max="2555" width="9.42578125" style="2" customWidth="1"/>
    <col min="2556" max="2556" width="9.28515625" style="2" customWidth="1"/>
    <col min="2557" max="2557" width="10.5703125" style="2" customWidth="1"/>
    <col min="2558" max="2559" width="8.85546875" style="2" customWidth="1"/>
    <col min="2560" max="2560" width="8.28515625" style="2" customWidth="1"/>
    <col min="2561" max="2561" width="8.85546875" style="2" customWidth="1"/>
    <col min="2562" max="2562" width="9.5703125" style="2" customWidth="1"/>
    <col min="2563" max="2563" width="8.42578125" style="2" customWidth="1"/>
    <col min="2564" max="2564" width="9.5703125" style="2" customWidth="1"/>
    <col min="2565" max="2565" width="8.28515625" style="2" customWidth="1"/>
    <col min="2566" max="2566" width="9.28515625" style="2" customWidth="1"/>
    <col min="2567" max="2567" width="9.85546875" style="2" customWidth="1"/>
    <col min="2568" max="2568" width="10.28515625" style="2" customWidth="1"/>
    <col min="2569" max="2569" width="10.42578125" style="2" customWidth="1"/>
    <col min="2570" max="2570" width="9.5703125" style="2" customWidth="1"/>
    <col min="2571" max="2571" width="10.140625" style="2" customWidth="1"/>
    <col min="2572" max="2572" width="9.5703125" style="2" customWidth="1"/>
    <col min="2573" max="2573" width="10.28515625" style="2" customWidth="1"/>
    <col min="2574" max="2574" width="10" style="2" customWidth="1"/>
    <col min="2575" max="2575" width="9.140625" style="2" customWidth="1"/>
    <col min="2576" max="2576" width="10.5703125" style="2" customWidth="1"/>
    <col min="2577" max="2577" width="9.28515625" style="2" customWidth="1"/>
    <col min="2578" max="2579" width="9.42578125" style="2" customWidth="1"/>
    <col min="2580" max="2580" width="9" style="2" customWidth="1"/>
    <col min="2581" max="2581" width="11" style="2" customWidth="1"/>
    <col min="2582" max="2582" width="9.28515625" style="2" customWidth="1"/>
    <col min="2583" max="2583" width="9.7109375" style="2" customWidth="1"/>
    <col min="2584" max="2584" width="10.85546875" style="2" customWidth="1"/>
    <col min="2585" max="2585" width="10.5703125" style="2" customWidth="1"/>
    <col min="2586" max="2586" width="10.28515625" style="2" customWidth="1"/>
    <col min="2587" max="2587" width="9.85546875" style="2" customWidth="1"/>
    <col min="2588" max="2588" width="10.28515625" style="2" customWidth="1"/>
    <col min="2589" max="2589" width="9" style="2" customWidth="1"/>
    <col min="2590" max="2590" width="9.85546875" style="2" customWidth="1"/>
    <col min="2591" max="2591" width="9.42578125" style="2" customWidth="1"/>
    <col min="2592" max="2592" width="9.140625" style="2" customWidth="1"/>
    <col min="2593" max="2593" width="11" style="2" customWidth="1"/>
    <col min="2594" max="2594" width="9.28515625" style="2" customWidth="1"/>
    <col min="2595" max="2595" width="9.5703125" style="2" customWidth="1"/>
    <col min="2596" max="2596" width="10.42578125" style="2" customWidth="1"/>
    <col min="2597" max="2597" width="9" style="2" customWidth="1"/>
    <col min="2598" max="2598" width="9.7109375" style="2" customWidth="1"/>
    <col min="2599" max="2599" width="10" style="2" customWidth="1"/>
    <col min="2600" max="2600" width="10.7109375" style="2" customWidth="1"/>
    <col min="2601" max="2601" width="9.42578125" style="2" customWidth="1"/>
    <col min="2602" max="2602" width="10.28515625" style="2" customWidth="1"/>
    <col min="2603" max="2603" width="9.5703125" style="2" customWidth="1"/>
    <col min="2604" max="2604" width="10" style="2" customWidth="1"/>
    <col min="2605" max="2605" width="9" style="2" customWidth="1"/>
    <col min="2606" max="2606" width="10.5703125" style="2" customWidth="1"/>
    <col min="2607" max="2607" width="11.28515625" style="2" customWidth="1"/>
    <col min="2608" max="2608" width="10.5703125" style="2" customWidth="1"/>
    <col min="2609" max="2609" width="9.7109375" style="2" customWidth="1"/>
    <col min="2610" max="2610" width="9.5703125" style="2" customWidth="1"/>
    <col min="2611" max="2611" width="10.5703125" style="2" customWidth="1"/>
    <col min="2612" max="2612" width="10.42578125" style="2" customWidth="1"/>
    <col min="2613" max="2613" width="9.85546875" style="2" customWidth="1"/>
    <col min="2614" max="2614" width="10.5703125" style="2" bestFit="1" customWidth="1"/>
    <col min="2615" max="2617" width="10.140625" style="2" bestFit="1" customWidth="1"/>
    <col min="2618" max="2618" width="8.85546875" style="2" customWidth="1"/>
    <col min="2619" max="2619" width="9.140625" style="2" bestFit="1" customWidth="1"/>
    <col min="2620" max="2621" width="10.140625" style="2" customWidth="1"/>
    <col min="2622" max="2622" width="10" style="2" customWidth="1"/>
    <col min="2623" max="2623" width="8.28515625" style="2" customWidth="1"/>
    <col min="2624" max="2624" width="9" style="2" customWidth="1"/>
    <col min="2625" max="2625" width="10.5703125" style="2" customWidth="1"/>
    <col min="2626" max="2626" width="10.140625" style="2" customWidth="1"/>
    <col min="2627" max="2627" width="9.7109375" style="2" customWidth="1"/>
    <col min="2628" max="2628" width="9.140625" style="2" customWidth="1"/>
    <col min="2629" max="2629" width="10.140625" style="2" customWidth="1"/>
    <col min="2630" max="2630" width="9" style="2" customWidth="1"/>
    <col min="2631" max="2631" width="9.28515625" style="2" customWidth="1"/>
    <col min="2632" max="2632" width="11" style="2" customWidth="1"/>
    <col min="2633" max="2633" width="10.140625" style="2" customWidth="1"/>
    <col min="2634" max="2634" width="10.7109375" style="2" customWidth="1"/>
    <col min="2635" max="2635" width="9.85546875" style="2" customWidth="1"/>
    <col min="2636" max="2636" width="11" style="2" customWidth="1"/>
    <col min="2637" max="2637" width="10" style="2" customWidth="1"/>
    <col min="2638" max="2638" width="9.140625" style="2" customWidth="1"/>
    <col min="2639" max="2639" width="10.28515625" style="2" customWidth="1"/>
    <col min="2640" max="2640" width="10.5703125" style="2" customWidth="1"/>
    <col min="2641" max="2641" width="9.85546875" style="2" customWidth="1"/>
    <col min="2642" max="2642" width="10.7109375" style="2" customWidth="1"/>
    <col min="2643" max="2643" width="9.42578125" style="2" customWidth="1"/>
    <col min="2644" max="2644" width="10.42578125" style="2" customWidth="1"/>
    <col min="2645" max="2645" width="9.85546875" style="2" customWidth="1"/>
    <col min="2646" max="2646" width="10.7109375" style="2" customWidth="1"/>
    <col min="2647" max="2647" width="10.140625" style="2" customWidth="1"/>
    <col min="2648" max="2648" width="10.28515625" style="2" customWidth="1"/>
    <col min="2649" max="2649" width="9" style="2" customWidth="1"/>
    <col min="2650" max="2650" width="11.140625" style="2" customWidth="1"/>
    <col min="2651" max="2651" width="10.28515625" style="2" customWidth="1"/>
    <col min="2652" max="2652" width="9.42578125" style="2" customWidth="1"/>
    <col min="2653" max="2653" width="10.42578125" style="2" customWidth="1"/>
    <col min="2654" max="2654" width="9.42578125" style="2" customWidth="1"/>
    <col min="2655" max="2655" width="9" style="2" customWidth="1"/>
    <col min="2656" max="2656" width="10.28515625" style="2" customWidth="1"/>
    <col min="2657" max="2657" width="8.42578125" style="2" customWidth="1"/>
    <col min="2658" max="2658" width="9.7109375" style="2" customWidth="1"/>
    <col min="2659" max="2659" width="8.7109375" style="2" customWidth="1"/>
    <col min="2660" max="2660" width="9.42578125" style="2" customWidth="1"/>
    <col min="2661" max="2661" width="10.85546875" style="2" customWidth="1"/>
    <col min="2662" max="2662" width="9.7109375" style="2" customWidth="1"/>
    <col min="2663" max="2663" width="11.42578125" style="2" customWidth="1"/>
    <col min="2664" max="2664" width="11" style="2" customWidth="1"/>
    <col min="2665" max="2665" width="9.42578125" style="2" customWidth="1"/>
    <col min="2666" max="2666" width="10.28515625" style="2" customWidth="1"/>
    <col min="2667" max="2667" width="10.42578125" style="2" customWidth="1"/>
    <col min="2668" max="2668" width="10.28515625" style="2" customWidth="1"/>
    <col min="2669" max="2670" width="9.140625" style="2" bestFit="1" customWidth="1"/>
    <col min="2671" max="2671" width="10" style="2" customWidth="1"/>
    <col min="2672" max="2672" width="9.140625" style="2" customWidth="1"/>
    <col min="2673" max="2673" width="9.85546875" style="2" customWidth="1"/>
    <col min="2674" max="2674" width="9.5703125" style="2" customWidth="1"/>
    <col min="2675" max="2675" width="10.85546875" style="2" customWidth="1"/>
    <col min="2676" max="2676" width="10.5703125" style="2" customWidth="1"/>
    <col min="2677" max="2677" width="10.28515625" style="2" customWidth="1"/>
    <col min="2678" max="2678" width="9.5703125" style="2" customWidth="1"/>
    <col min="2679" max="2679" width="9.28515625" style="2" customWidth="1"/>
    <col min="2680" max="2680" width="10.28515625" style="2" customWidth="1"/>
    <col min="2681" max="2681" width="10" style="2" customWidth="1"/>
    <col min="2682" max="2682" width="9" style="2" customWidth="1"/>
    <col min="2683" max="2683" width="10.42578125" style="2" customWidth="1"/>
    <col min="2684" max="2685" width="9.85546875" style="2" customWidth="1"/>
    <col min="2686" max="2686" width="10" style="2" customWidth="1"/>
    <col min="2687" max="2687" width="8.28515625" style="2" customWidth="1"/>
    <col min="2688" max="2688" width="9.85546875" style="2" customWidth="1"/>
    <col min="2689" max="2689" width="11.5703125" style="2" customWidth="1"/>
    <col min="2690" max="2690" width="9.140625" style="2" bestFit="1" customWidth="1"/>
    <col min="2691" max="2691" width="10" style="2" customWidth="1"/>
    <col min="2692" max="2692" width="8" style="2" customWidth="1"/>
    <col min="2693" max="2693" width="11.28515625" style="2" customWidth="1"/>
    <col min="2694" max="2696" width="10.140625" style="2" bestFit="1" customWidth="1"/>
    <col min="2697" max="2697" width="12.28515625" style="2" customWidth="1"/>
    <col min="2698" max="2699" width="5.7109375" style="2"/>
    <col min="2700" max="2700" width="10.28515625" style="2" bestFit="1" customWidth="1"/>
    <col min="2701" max="2706" width="5.7109375" style="2"/>
    <col min="2707" max="2707" width="22" style="2" customWidth="1"/>
    <col min="2708" max="2708" width="16" style="2" customWidth="1"/>
    <col min="2709" max="2709" width="7.140625" style="2" bestFit="1" customWidth="1"/>
    <col min="2710" max="2710" width="9.28515625" style="2" bestFit="1" customWidth="1"/>
    <col min="2711" max="2771" width="5.7109375" style="2"/>
    <col min="2772" max="2772" width="29.42578125" style="2" customWidth="1"/>
    <col min="2773" max="2773" width="4.7109375" style="2" customWidth="1"/>
    <col min="2774" max="2775" width="9.7109375" style="2" customWidth="1"/>
    <col min="2776" max="2776" width="9.42578125" style="2" customWidth="1"/>
    <col min="2777" max="2777" width="9.140625" style="2" customWidth="1"/>
    <col min="2778" max="2778" width="8.85546875" style="2" customWidth="1"/>
    <col min="2779" max="2779" width="9.7109375" style="2" customWidth="1"/>
    <col min="2780" max="2780" width="8.140625" style="2" customWidth="1"/>
    <col min="2781" max="2781" width="10.42578125" style="2" customWidth="1"/>
    <col min="2782" max="2782" width="9.140625" style="2" customWidth="1"/>
    <col min="2783" max="2783" width="9.85546875" style="2" customWidth="1"/>
    <col min="2784" max="2784" width="9.42578125" style="2" customWidth="1"/>
    <col min="2785" max="2785" width="9.5703125" style="2" customWidth="1"/>
    <col min="2786" max="2786" width="9.28515625" style="2" customWidth="1"/>
    <col min="2787" max="2787" width="9.140625" style="2" customWidth="1"/>
    <col min="2788" max="2788" width="9.28515625" style="2" bestFit="1" customWidth="1"/>
    <col min="2789" max="2789" width="10.5703125" style="2" customWidth="1"/>
    <col min="2790" max="2790" width="7.7109375" style="2" customWidth="1"/>
    <col min="2791" max="2791" width="9.140625" style="2" customWidth="1"/>
    <col min="2792" max="2792" width="7.85546875" style="2" customWidth="1"/>
    <col min="2793" max="2793" width="8.7109375" style="2" customWidth="1"/>
    <col min="2794" max="2794" width="9.42578125" style="2" customWidth="1"/>
    <col min="2795" max="2795" width="10.28515625" style="2" customWidth="1"/>
    <col min="2796" max="2796" width="9.85546875" style="2" customWidth="1"/>
    <col min="2797" max="2797" width="10.140625" style="2" customWidth="1"/>
    <col min="2798" max="2799" width="8.140625" style="2" customWidth="1"/>
    <col min="2800" max="2801" width="7.85546875" style="2" customWidth="1"/>
    <col min="2802" max="2802" width="9.140625" style="2" customWidth="1"/>
    <col min="2803" max="2803" width="9.7109375" style="2" customWidth="1"/>
    <col min="2804" max="2804" width="8.28515625" style="2" customWidth="1"/>
    <col min="2805" max="2805" width="9.140625" style="2" customWidth="1"/>
    <col min="2806" max="2806" width="10" style="2" customWidth="1"/>
    <col min="2807" max="2807" width="10.28515625" style="2" customWidth="1"/>
    <col min="2808" max="2808" width="9.85546875" style="2" customWidth="1"/>
    <col min="2809" max="2809" width="9.42578125" style="2" customWidth="1"/>
    <col min="2810" max="2810" width="9.7109375" style="2" customWidth="1"/>
    <col min="2811" max="2811" width="9.42578125" style="2" customWidth="1"/>
    <col min="2812" max="2812" width="9.28515625" style="2" customWidth="1"/>
    <col min="2813" max="2813" width="10.5703125" style="2" customWidth="1"/>
    <col min="2814" max="2815" width="8.85546875" style="2" customWidth="1"/>
    <col min="2816" max="2816" width="8.28515625" style="2" customWidth="1"/>
    <col min="2817" max="2817" width="8.85546875" style="2" customWidth="1"/>
    <col min="2818" max="2818" width="9.5703125" style="2" customWidth="1"/>
    <col min="2819" max="2819" width="8.42578125" style="2" customWidth="1"/>
    <col min="2820" max="2820" width="9.5703125" style="2" customWidth="1"/>
    <col min="2821" max="2821" width="8.28515625" style="2" customWidth="1"/>
    <col min="2822" max="2822" width="9.28515625" style="2" customWidth="1"/>
    <col min="2823" max="2823" width="9.85546875" style="2" customWidth="1"/>
    <col min="2824" max="2824" width="10.28515625" style="2" customWidth="1"/>
    <col min="2825" max="2825" width="10.42578125" style="2" customWidth="1"/>
    <col min="2826" max="2826" width="9.5703125" style="2" customWidth="1"/>
    <col min="2827" max="2827" width="10.140625" style="2" customWidth="1"/>
    <col min="2828" max="2828" width="9.5703125" style="2" customWidth="1"/>
    <col min="2829" max="2829" width="10.28515625" style="2" customWidth="1"/>
    <col min="2830" max="2830" width="10" style="2" customWidth="1"/>
    <col min="2831" max="2831" width="9.140625" style="2" customWidth="1"/>
    <col min="2832" max="2832" width="10.5703125" style="2" customWidth="1"/>
    <col min="2833" max="2833" width="9.28515625" style="2" customWidth="1"/>
    <col min="2834" max="2835" width="9.42578125" style="2" customWidth="1"/>
    <col min="2836" max="2836" width="9" style="2" customWidth="1"/>
    <col min="2837" max="2837" width="11" style="2" customWidth="1"/>
    <col min="2838" max="2838" width="9.28515625" style="2" customWidth="1"/>
    <col min="2839" max="2839" width="9.7109375" style="2" customWidth="1"/>
    <col min="2840" max="2840" width="10.85546875" style="2" customWidth="1"/>
    <col min="2841" max="2841" width="10.5703125" style="2" customWidth="1"/>
    <col min="2842" max="2842" width="10.28515625" style="2" customWidth="1"/>
    <col min="2843" max="2843" width="9.85546875" style="2" customWidth="1"/>
    <col min="2844" max="2844" width="10.28515625" style="2" customWidth="1"/>
    <col min="2845" max="2845" width="9" style="2" customWidth="1"/>
    <col min="2846" max="2846" width="9.85546875" style="2" customWidth="1"/>
    <col min="2847" max="2847" width="9.42578125" style="2" customWidth="1"/>
    <col min="2848" max="2848" width="9.140625" style="2" customWidth="1"/>
    <col min="2849" max="2849" width="11" style="2" customWidth="1"/>
    <col min="2850" max="2850" width="9.28515625" style="2" customWidth="1"/>
    <col min="2851" max="2851" width="9.5703125" style="2" customWidth="1"/>
    <col min="2852" max="2852" width="10.42578125" style="2" customWidth="1"/>
    <col min="2853" max="2853" width="9" style="2" customWidth="1"/>
    <col min="2854" max="2854" width="9.7109375" style="2" customWidth="1"/>
    <col min="2855" max="2855" width="10" style="2" customWidth="1"/>
    <col min="2856" max="2856" width="10.7109375" style="2" customWidth="1"/>
    <col min="2857" max="2857" width="9.42578125" style="2" customWidth="1"/>
    <col min="2858" max="2858" width="10.28515625" style="2" customWidth="1"/>
    <col min="2859" max="2859" width="9.5703125" style="2" customWidth="1"/>
    <col min="2860" max="2860" width="10" style="2" customWidth="1"/>
    <col min="2861" max="2861" width="9" style="2" customWidth="1"/>
    <col min="2862" max="2862" width="10.5703125" style="2" customWidth="1"/>
    <col min="2863" max="2863" width="11.28515625" style="2" customWidth="1"/>
    <col min="2864" max="2864" width="10.5703125" style="2" customWidth="1"/>
    <col min="2865" max="2865" width="9.7109375" style="2" customWidth="1"/>
    <col min="2866" max="2866" width="9.5703125" style="2" customWidth="1"/>
    <col min="2867" max="2867" width="10.5703125" style="2" customWidth="1"/>
    <col min="2868" max="2868" width="10.42578125" style="2" customWidth="1"/>
    <col min="2869" max="2869" width="9.85546875" style="2" customWidth="1"/>
    <col min="2870" max="2870" width="10.5703125" style="2" bestFit="1" customWidth="1"/>
    <col min="2871" max="2873" width="10.140625" style="2" bestFit="1" customWidth="1"/>
    <col min="2874" max="2874" width="8.85546875" style="2" customWidth="1"/>
    <col min="2875" max="2875" width="9.140625" style="2" bestFit="1" customWidth="1"/>
    <col min="2876" max="2877" width="10.140625" style="2" customWidth="1"/>
    <col min="2878" max="2878" width="10" style="2" customWidth="1"/>
    <col min="2879" max="2879" width="8.28515625" style="2" customWidth="1"/>
    <col min="2880" max="2880" width="9" style="2" customWidth="1"/>
    <col min="2881" max="2881" width="10.5703125" style="2" customWidth="1"/>
    <col min="2882" max="2882" width="10.140625" style="2" customWidth="1"/>
    <col min="2883" max="2883" width="9.7109375" style="2" customWidth="1"/>
    <col min="2884" max="2884" width="9.140625" style="2" customWidth="1"/>
    <col min="2885" max="2885" width="10.140625" style="2" customWidth="1"/>
    <col min="2886" max="2886" width="9" style="2" customWidth="1"/>
    <col min="2887" max="2887" width="9.28515625" style="2" customWidth="1"/>
    <col min="2888" max="2888" width="11" style="2" customWidth="1"/>
    <col min="2889" max="2889" width="10.140625" style="2" customWidth="1"/>
    <col min="2890" max="2890" width="10.7109375" style="2" customWidth="1"/>
    <col min="2891" max="2891" width="9.85546875" style="2" customWidth="1"/>
    <col min="2892" max="2892" width="11" style="2" customWidth="1"/>
    <col min="2893" max="2893" width="10" style="2" customWidth="1"/>
    <col min="2894" max="2894" width="9.140625" style="2" customWidth="1"/>
    <col min="2895" max="2895" width="10.28515625" style="2" customWidth="1"/>
    <col min="2896" max="2896" width="10.5703125" style="2" customWidth="1"/>
    <col min="2897" max="2897" width="9.85546875" style="2" customWidth="1"/>
    <col min="2898" max="2898" width="10.7109375" style="2" customWidth="1"/>
    <col min="2899" max="2899" width="9.42578125" style="2" customWidth="1"/>
    <col min="2900" max="2900" width="10.42578125" style="2" customWidth="1"/>
    <col min="2901" max="2901" width="9.85546875" style="2" customWidth="1"/>
    <col min="2902" max="2902" width="10.7109375" style="2" customWidth="1"/>
    <col min="2903" max="2903" width="10.140625" style="2" customWidth="1"/>
    <col min="2904" max="2904" width="10.28515625" style="2" customWidth="1"/>
    <col min="2905" max="2905" width="9" style="2" customWidth="1"/>
    <col min="2906" max="2906" width="11.140625" style="2" customWidth="1"/>
    <col min="2907" max="2907" width="10.28515625" style="2" customWidth="1"/>
    <col min="2908" max="2908" width="9.42578125" style="2" customWidth="1"/>
    <col min="2909" max="2909" width="10.42578125" style="2" customWidth="1"/>
    <col min="2910" max="2910" width="9.42578125" style="2" customWidth="1"/>
    <col min="2911" max="2911" width="9" style="2" customWidth="1"/>
    <col min="2912" max="2912" width="10.28515625" style="2" customWidth="1"/>
    <col min="2913" max="2913" width="8.42578125" style="2" customWidth="1"/>
    <col min="2914" max="2914" width="9.7109375" style="2" customWidth="1"/>
    <col min="2915" max="2915" width="8.7109375" style="2" customWidth="1"/>
    <col min="2916" max="2916" width="9.42578125" style="2" customWidth="1"/>
    <col min="2917" max="2917" width="10.85546875" style="2" customWidth="1"/>
    <col min="2918" max="2918" width="9.7109375" style="2" customWidth="1"/>
    <col min="2919" max="2919" width="11.42578125" style="2" customWidth="1"/>
    <col min="2920" max="2920" width="11" style="2" customWidth="1"/>
    <col min="2921" max="2921" width="9.42578125" style="2" customWidth="1"/>
    <col min="2922" max="2922" width="10.28515625" style="2" customWidth="1"/>
    <col min="2923" max="2923" width="10.42578125" style="2" customWidth="1"/>
    <col min="2924" max="2924" width="10.28515625" style="2" customWidth="1"/>
    <col min="2925" max="2926" width="9.140625" style="2" bestFit="1" customWidth="1"/>
    <col min="2927" max="2927" width="10" style="2" customWidth="1"/>
    <col min="2928" max="2928" width="9.140625" style="2" customWidth="1"/>
    <col min="2929" max="2929" width="9.85546875" style="2" customWidth="1"/>
    <col min="2930" max="2930" width="9.5703125" style="2" customWidth="1"/>
    <col min="2931" max="2931" width="10.85546875" style="2" customWidth="1"/>
    <col min="2932" max="2932" width="10.5703125" style="2" customWidth="1"/>
    <col min="2933" max="2933" width="10.28515625" style="2" customWidth="1"/>
    <col min="2934" max="2934" width="9.5703125" style="2" customWidth="1"/>
    <col min="2935" max="2935" width="9.28515625" style="2" customWidth="1"/>
    <col min="2936" max="2936" width="10.28515625" style="2" customWidth="1"/>
    <col min="2937" max="2937" width="10" style="2" customWidth="1"/>
    <col min="2938" max="2938" width="9" style="2" customWidth="1"/>
    <col min="2939" max="2939" width="10.42578125" style="2" customWidth="1"/>
    <col min="2940" max="2941" width="9.85546875" style="2" customWidth="1"/>
    <col min="2942" max="2942" width="10" style="2" customWidth="1"/>
    <col min="2943" max="2943" width="8.28515625" style="2" customWidth="1"/>
    <col min="2944" max="2944" width="9.85546875" style="2" customWidth="1"/>
    <col min="2945" max="2945" width="11.5703125" style="2" customWidth="1"/>
    <col min="2946" max="2946" width="9.140625" style="2" bestFit="1" customWidth="1"/>
    <col min="2947" max="2947" width="10" style="2" customWidth="1"/>
    <col min="2948" max="2948" width="8" style="2" customWidth="1"/>
    <col min="2949" max="2949" width="11.28515625" style="2" customWidth="1"/>
    <col min="2950" max="2952" width="10.140625" style="2" bestFit="1" customWidth="1"/>
    <col min="2953" max="2953" width="12.28515625" style="2" customWidth="1"/>
    <col min="2954" max="2955" width="5.7109375" style="2"/>
    <col min="2956" max="2956" width="10.28515625" style="2" bestFit="1" customWidth="1"/>
    <col min="2957" max="2962" width="5.7109375" style="2"/>
    <col min="2963" max="2963" width="22" style="2" customWidth="1"/>
    <col min="2964" max="2964" width="16" style="2" customWidth="1"/>
    <col min="2965" max="2965" width="7.140625" style="2" bestFit="1" customWidth="1"/>
    <col min="2966" max="2966" width="9.28515625" style="2" bestFit="1" customWidth="1"/>
    <col min="2967" max="3027" width="5.7109375" style="2"/>
    <col min="3028" max="3028" width="29.42578125" style="2" customWidth="1"/>
    <col min="3029" max="3029" width="4.7109375" style="2" customWidth="1"/>
    <col min="3030" max="3031" width="9.7109375" style="2" customWidth="1"/>
    <col min="3032" max="3032" width="9.42578125" style="2" customWidth="1"/>
    <col min="3033" max="3033" width="9.140625" style="2" customWidth="1"/>
    <col min="3034" max="3034" width="8.85546875" style="2" customWidth="1"/>
    <col min="3035" max="3035" width="9.7109375" style="2" customWidth="1"/>
    <col min="3036" max="3036" width="8.140625" style="2" customWidth="1"/>
    <col min="3037" max="3037" width="10.42578125" style="2" customWidth="1"/>
    <col min="3038" max="3038" width="9.140625" style="2" customWidth="1"/>
    <col min="3039" max="3039" width="9.85546875" style="2" customWidth="1"/>
    <col min="3040" max="3040" width="9.42578125" style="2" customWidth="1"/>
    <col min="3041" max="3041" width="9.5703125" style="2" customWidth="1"/>
    <col min="3042" max="3042" width="9.28515625" style="2" customWidth="1"/>
    <col min="3043" max="3043" width="9.140625" style="2" customWidth="1"/>
    <col min="3044" max="3044" width="9.28515625" style="2" bestFit="1" customWidth="1"/>
    <col min="3045" max="3045" width="10.5703125" style="2" customWidth="1"/>
    <col min="3046" max="3046" width="7.7109375" style="2" customWidth="1"/>
    <col min="3047" max="3047" width="9.140625" style="2" customWidth="1"/>
    <col min="3048" max="3048" width="7.85546875" style="2" customWidth="1"/>
    <col min="3049" max="3049" width="8.7109375" style="2" customWidth="1"/>
    <col min="3050" max="3050" width="9.42578125" style="2" customWidth="1"/>
    <col min="3051" max="3051" width="10.28515625" style="2" customWidth="1"/>
    <col min="3052" max="3052" width="9.85546875" style="2" customWidth="1"/>
    <col min="3053" max="3053" width="10.140625" style="2" customWidth="1"/>
    <col min="3054" max="3055" width="8.140625" style="2" customWidth="1"/>
    <col min="3056" max="3057" width="7.85546875" style="2" customWidth="1"/>
    <col min="3058" max="3058" width="9.140625" style="2" customWidth="1"/>
    <col min="3059" max="3059" width="9.7109375" style="2" customWidth="1"/>
    <col min="3060" max="3060" width="8.28515625" style="2" customWidth="1"/>
    <col min="3061" max="3061" width="9.140625" style="2" customWidth="1"/>
    <col min="3062" max="3062" width="10" style="2" customWidth="1"/>
    <col min="3063" max="3063" width="10.28515625" style="2" customWidth="1"/>
    <col min="3064" max="3064" width="9.85546875" style="2" customWidth="1"/>
    <col min="3065" max="3065" width="9.42578125" style="2" customWidth="1"/>
    <col min="3066" max="3066" width="9.7109375" style="2" customWidth="1"/>
    <col min="3067" max="3067" width="9.42578125" style="2" customWidth="1"/>
    <col min="3068" max="3068" width="9.28515625" style="2" customWidth="1"/>
    <col min="3069" max="3069" width="10.5703125" style="2" customWidth="1"/>
    <col min="3070" max="3071" width="8.85546875" style="2" customWidth="1"/>
    <col min="3072" max="3072" width="8.28515625" style="2" customWidth="1"/>
    <col min="3073" max="3073" width="8.85546875" style="2" customWidth="1"/>
    <col min="3074" max="3074" width="9.5703125" style="2" customWidth="1"/>
    <col min="3075" max="3075" width="8.42578125" style="2" customWidth="1"/>
    <col min="3076" max="3076" width="9.5703125" style="2" customWidth="1"/>
    <col min="3077" max="3077" width="8.28515625" style="2" customWidth="1"/>
    <col min="3078" max="3078" width="9.28515625" style="2" customWidth="1"/>
    <col min="3079" max="3079" width="9.85546875" style="2" customWidth="1"/>
    <col min="3080" max="3080" width="10.28515625" style="2" customWidth="1"/>
    <col min="3081" max="3081" width="10.42578125" style="2" customWidth="1"/>
    <col min="3082" max="3082" width="9.5703125" style="2" customWidth="1"/>
    <col min="3083" max="3083" width="10.140625" style="2" customWidth="1"/>
    <col min="3084" max="3084" width="9.5703125" style="2" customWidth="1"/>
    <col min="3085" max="3085" width="10.28515625" style="2" customWidth="1"/>
    <col min="3086" max="3086" width="10" style="2" customWidth="1"/>
    <col min="3087" max="3087" width="9.140625" style="2" customWidth="1"/>
    <col min="3088" max="3088" width="10.5703125" style="2" customWidth="1"/>
    <col min="3089" max="3089" width="9.28515625" style="2" customWidth="1"/>
    <col min="3090" max="3091" width="9.42578125" style="2" customWidth="1"/>
    <col min="3092" max="3092" width="9" style="2" customWidth="1"/>
    <col min="3093" max="3093" width="11" style="2" customWidth="1"/>
    <col min="3094" max="3094" width="9.28515625" style="2" customWidth="1"/>
    <col min="3095" max="3095" width="9.7109375" style="2" customWidth="1"/>
    <col min="3096" max="3096" width="10.85546875" style="2" customWidth="1"/>
    <col min="3097" max="3097" width="10.5703125" style="2" customWidth="1"/>
    <col min="3098" max="3098" width="10.28515625" style="2" customWidth="1"/>
    <col min="3099" max="3099" width="9.85546875" style="2" customWidth="1"/>
    <col min="3100" max="3100" width="10.28515625" style="2" customWidth="1"/>
    <col min="3101" max="3101" width="9" style="2" customWidth="1"/>
    <col min="3102" max="3102" width="9.85546875" style="2" customWidth="1"/>
    <col min="3103" max="3103" width="9.42578125" style="2" customWidth="1"/>
    <col min="3104" max="3104" width="9.140625" style="2" customWidth="1"/>
    <col min="3105" max="3105" width="11" style="2" customWidth="1"/>
    <col min="3106" max="3106" width="9.28515625" style="2" customWidth="1"/>
    <col min="3107" max="3107" width="9.5703125" style="2" customWidth="1"/>
    <col min="3108" max="3108" width="10.42578125" style="2" customWidth="1"/>
    <col min="3109" max="3109" width="9" style="2" customWidth="1"/>
    <col min="3110" max="3110" width="9.7109375" style="2" customWidth="1"/>
    <col min="3111" max="3111" width="10" style="2" customWidth="1"/>
    <col min="3112" max="3112" width="10.7109375" style="2" customWidth="1"/>
    <col min="3113" max="3113" width="9.42578125" style="2" customWidth="1"/>
    <col min="3114" max="3114" width="10.28515625" style="2" customWidth="1"/>
    <col min="3115" max="3115" width="9.5703125" style="2" customWidth="1"/>
    <col min="3116" max="3116" width="10" style="2" customWidth="1"/>
    <col min="3117" max="3117" width="9" style="2" customWidth="1"/>
    <col min="3118" max="3118" width="10.5703125" style="2" customWidth="1"/>
    <col min="3119" max="3119" width="11.28515625" style="2" customWidth="1"/>
    <col min="3120" max="3120" width="10.5703125" style="2" customWidth="1"/>
    <col min="3121" max="3121" width="9.7109375" style="2" customWidth="1"/>
    <col min="3122" max="3122" width="9.5703125" style="2" customWidth="1"/>
    <col min="3123" max="3123" width="10.5703125" style="2" customWidth="1"/>
    <col min="3124" max="3124" width="10.42578125" style="2" customWidth="1"/>
    <col min="3125" max="3125" width="9.85546875" style="2" customWidth="1"/>
    <col min="3126" max="3126" width="10.5703125" style="2" bestFit="1" customWidth="1"/>
    <col min="3127" max="3129" width="10.140625" style="2" bestFit="1" customWidth="1"/>
    <col min="3130" max="3130" width="8.85546875" style="2" customWidth="1"/>
    <col min="3131" max="3131" width="9.140625" style="2" bestFit="1" customWidth="1"/>
    <col min="3132" max="3133" width="10.140625" style="2" customWidth="1"/>
    <col min="3134" max="3134" width="10" style="2" customWidth="1"/>
    <col min="3135" max="3135" width="8.28515625" style="2" customWidth="1"/>
    <col min="3136" max="3136" width="9" style="2" customWidth="1"/>
    <col min="3137" max="3137" width="10.5703125" style="2" customWidth="1"/>
    <col min="3138" max="3138" width="10.140625" style="2" customWidth="1"/>
    <col min="3139" max="3139" width="9.7109375" style="2" customWidth="1"/>
    <col min="3140" max="3140" width="9.140625" style="2" customWidth="1"/>
    <col min="3141" max="3141" width="10.140625" style="2" customWidth="1"/>
    <col min="3142" max="3142" width="9" style="2" customWidth="1"/>
    <col min="3143" max="3143" width="9.28515625" style="2" customWidth="1"/>
    <col min="3144" max="3144" width="11" style="2" customWidth="1"/>
    <col min="3145" max="3145" width="10.140625" style="2" customWidth="1"/>
    <col min="3146" max="3146" width="10.7109375" style="2" customWidth="1"/>
    <col min="3147" max="3147" width="9.85546875" style="2" customWidth="1"/>
    <col min="3148" max="3148" width="11" style="2" customWidth="1"/>
    <col min="3149" max="3149" width="10" style="2" customWidth="1"/>
    <col min="3150" max="3150" width="9.140625" style="2" customWidth="1"/>
    <col min="3151" max="3151" width="10.28515625" style="2" customWidth="1"/>
    <col min="3152" max="3152" width="10.5703125" style="2" customWidth="1"/>
    <col min="3153" max="3153" width="9.85546875" style="2" customWidth="1"/>
    <col min="3154" max="3154" width="10.7109375" style="2" customWidth="1"/>
    <col min="3155" max="3155" width="9.42578125" style="2" customWidth="1"/>
    <col min="3156" max="3156" width="10.42578125" style="2" customWidth="1"/>
    <col min="3157" max="3157" width="9.85546875" style="2" customWidth="1"/>
    <col min="3158" max="3158" width="10.7109375" style="2" customWidth="1"/>
    <col min="3159" max="3159" width="10.140625" style="2" customWidth="1"/>
    <col min="3160" max="3160" width="10.28515625" style="2" customWidth="1"/>
    <col min="3161" max="3161" width="9" style="2" customWidth="1"/>
    <col min="3162" max="3162" width="11.140625" style="2" customWidth="1"/>
    <col min="3163" max="3163" width="10.28515625" style="2" customWidth="1"/>
    <col min="3164" max="3164" width="9.42578125" style="2" customWidth="1"/>
    <col min="3165" max="3165" width="10.42578125" style="2" customWidth="1"/>
    <col min="3166" max="3166" width="9.42578125" style="2" customWidth="1"/>
    <col min="3167" max="3167" width="9" style="2" customWidth="1"/>
    <col min="3168" max="3168" width="10.28515625" style="2" customWidth="1"/>
    <col min="3169" max="3169" width="8.42578125" style="2" customWidth="1"/>
    <col min="3170" max="3170" width="9.7109375" style="2" customWidth="1"/>
    <col min="3171" max="3171" width="8.7109375" style="2" customWidth="1"/>
    <col min="3172" max="3172" width="9.42578125" style="2" customWidth="1"/>
    <col min="3173" max="3173" width="10.85546875" style="2" customWidth="1"/>
    <col min="3174" max="3174" width="9.7109375" style="2" customWidth="1"/>
    <col min="3175" max="3175" width="11.42578125" style="2" customWidth="1"/>
    <col min="3176" max="3176" width="11" style="2" customWidth="1"/>
    <col min="3177" max="3177" width="9.42578125" style="2" customWidth="1"/>
    <col min="3178" max="3178" width="10.28515625" style="2" customWidth="1"/>
    <col min="3179" max="3179" width="10.42578125" style="2" customWidth="1"/>
    <col min="3180" max="3180" width="10.28515625" style="2" customWidth="1"/>
    <col min="3181" max="3182" width="9.140625" style="2" bestFit="1" customWidth="1"/>
    <col min="3183" max="3183" width="10" style="2" customWidth="1"/>
    <col min="3184" max="3184" width="9.140625" style="2" customWidth="1"/>
    <col min="3185" max="3185" width="9.85546875" style="2" customWidth="1"/>
    <col min="3186" max="3186" width="9.5703125" style="2" customWidth="1"/>
    <col min="3187" max="3187" width="10.85546875" style="2" customWidth="1"/>
    <col min="3188" max="3188" width="10.5703125" style="2" customWidth="1"/>
    <col min="3189" max="3189" width="10.28515625" style="2" customWidth="1"/>
    <col min="3190" max="3190" width="9.5703125" style="2" customWidth="1"/>
    <col min="3191" max="3191" width="9.28515625" style="2" customWidth="1"/>
    <col min="3192" max="3192" width="10.28515625" style="2" customWidth="1"/>
    <col min="3193" max="3193" width="10" style="2" customWidth="1"/>
    <col min="3194" max="3194" width="9" style="2" customWidth="1"/>
    <col min="3195" max="3195" width="10.42578125" style="2" customWidth="1"/>
    <col min="3196" max="3197" width="9.85546875" style="2" customWidth="1"/>
    <col min="3198" max="3198" width="10" style="2" customWidth="1"/>
    <col min="3199" max="3199" width="8.28515625" style="2" customWidth="1"/>
    <col min="3200" max="3200" width="9.85546875" style="2" customWidth="1"/>
    <col min="3201" max="3201" width="11.5703125" style="2" customWidth="1"/>
    <col min="3202" max="3202" width="9.140625" style="2" bestFit="1" customWidth="1"/>
    <col min="3203" max="3203" width="10" style="2" customWidth="1"/>
    <col min="3204" max="3204" width="8" style="2" customWidth="1"/>
    <col min="3205" max="3205" width="11.28515625" style="2" customWidth="1"/>
    <col min="3206" max="3208" width="10.140625" style="2" bestFit="1" customWidth="1"/>
    <col min="3209" max="3209" width="12.28515625" style="2" customWidth="1"/>
    <col min="3210" max="3211" width="5.7109375" style="2"/>
    <col min="3212" max="3212" width="10.28515625" style="2" bestFit="1" customWidth="1"/>
    <col min="3213" max="3218" width="5.7109375" style="2"/>
    <col min="3219" max="3219" width="22" style="2" customWidth="1"/>
    <col min="3220" max="3220" width="16" style="2" customWidth="1"/>
    <col min="3221" max="3221" width="7.140625" style="2" bestFit="1" customWidth="1"/>
    <col min="3222" max="3222" width="9.28515625" style="2" bestFit="1" customWidth="1"/>
    <col min="3223" max="3283" width="5.7109375" style="2"/>
    <col min="3284" max="3284" width="29.42578125" style="2" customWidth="1"/>
    <col min="3285" max="3285" width="4.7109375" style="2" customWidth="1"/>
    <col min="3286" max="3287" width="9.7109375" style="2" customWidth="1"/>
    <col min="3288" max="3288" width="9.42578125" style="2" customWidth="1"/>
    <col min="3289" max="3289" width="9.140625" style="2" customWidth="1"/>
    <col min="3290" max="3290" width="8.85546875" style="2" customWidth="1"/>
    <col min="3291" max="3291" width="9.7109375" style="2" customWidth="1"/>
    <col min="3292" max="3292" width="8.140625" style="2" customWidth="1"/>
    <col min="3293" max="3293" width="10.42578125" style="2" customWidth="1"/>
    <col min="3294" max="3294" width="9.140625" style="2" customWidth="1"/>
    <col min="3295" max="3295" width="9.85546875" style="2" customWidth="1"/>
    <col min="3296" max="3296" width="9.42578125" style="2" customWidth="1"/>
    <col min="3297" max="3297" width="9.5703125" style="2" customWidth="1"/>
    <col min="3298" max="3298" width="9.28515625" style="2" customWidth="1"/>
    <col min="3299" max="3299" width="9.140625" style="2" customWidth="1"/>
    <col min="3300" max="3300" width="9.28515625" style="2" bestFit="1" customWidth="1"/>
    <col min="3301" max="3301" width="10.5703125" style="2" customWidth="1"/>
    <col min="3302" max="3302" width="7.7109375" style="2" customWidth="1"/>
    <col min="3303" max="3303" width="9.140625" style="2" customWidth="1"/>
    <col min="3304" max="3304" width="7.85546875" style="2" customWidth="1"/>
    <col min="3305" max="3305" width="8.7109375" style="2" customWidth="1"/>
    <col min="3306" max="3306" width="9.42578125" style="2" customWidth="1"/>
    <col min="3307" max="3307" width="10.28515625" style="2" customWidth="1"/>
    <col min="3308" max="3308" width="9.85546875" style="2" customWidth="1"/>
    <col min="3309" max="3309" width="10.140625" style="2" customWidth="1"/>
    <col min="3310" max="3311" width="8.140625" style="2" customWidth="1"/>
    <col min="3312" max="3313" width="7.85546875" style="2" customWidth="1"/>
    <col min="3314" max="3314" width="9.140625" style="2" customWidth="1"/>
    <col min="3315" max="3315" width="9.7109375" style="2" customWidth="1"/>
    <col min="3316" max="3316" width="8.28515625" style="2" customWidth="1"/>
    <col min="3317" max="3317" width="9.140625" style="2" customWidth="1"/>
    <col min="3318" max="3318" width="10" style="2" customWidth="1"/>
    <col min="3319" max="3319" width="10.28515625" style="2" customWidth="1"/>
    <col min="3320" max="3320" width="9.85546875" style="2" customWidth="1"/>
    <col min="3321" max="3321" width="9.42578125" style="2" customWidth="1"/>
    <col min="3322" max="3322" width="9.7109375" style="2" customWidth="1"/>
    <col min="3323" max="3323" width="9.42578125" style="2" customWidth="1"/>
    <col min="3324" max="3324" width="9.28515625" style="2" customWidth="1"/>
    <col min="3325" max="3325" width="10.5703125" style="2" customWidth="1"/>
    <col min="3326" max="3327" width="8.85546875" style="2" customWidth="1"/>
    <col min="3328" max="3328" width="8.28515625" style="2" customWidth="1"/>
    <col min="3329" max="3329" width="8.85546875" style="2" customWidth="1"/>
    <col min="3330" max="3330" width="9.5703125" style="2" customWidth="1"/>
    <col min="3331" max="3331" width="8.42578125" style="2" customWidth="1"/>
    <col min="3332" max="3332" width="9.5703125" style="2" customWidth="1"/>
    <col min="3333" max="3333" width="8.28515625" style="2" customWidth="1"/>
    <col min="3334" max="3334" width="9.28515625" style="2" customWidth="1"/>
    <col min="3335" max="3335" width="9.85546875" style="2" customWidth="1"/>
    <col min="3336" max="3336" width="10.28515625" style="2" customWidth="1"/>
    <col min="3337" max="3337" width="10.42578125" style="2" customWidth="1"/>
    <col min="3338" max="3338" width="9.5703125" style="2" customWidth="1"/>
    <col min="3339" max="3339" width="10.140625" style="2" customWidth="1"/>
    <col min="3340" max="3340" width="9.5703125" style="2" customWidth="1"/>
    <col min="3341" max="3341" width="10.28515625" style="2" customWidth="1"/>
    <col min="3342" max="3342" width="10" style="2" customWidth="1"/>
    <col min="3343" max="3343" width="9.140625" style="2" customWidth="1"/>
    <col min="3344" max="3344" width="10.5703125" style="2" customWidth="1"/>
    <col min="3345" max="3345" width="9.28515625" style="2" customWidth="1"/>
    <col min="3346" max="3347" width="9.42578125" style="2" customWidth="1"/>
    <col min="3348" max="3348" width="9" style="2" customWidth="1"/>
    <col min="3349" max="3349" width="11" style="2" customWidth="1"/>
    <col min="3350" max="3350" width="9.28515625" style="2" customWidth="1"/>
    <col min="3351" max="3351" width="9.7109375" style="2" customWidth="1"/>
    <col min="3352" max="3352" width="10.85546875" style="2" customWidth="1"/>
    <col min="3353" max="3353" width="10.5703125" style="2" customWidth="1"/>
    <col min="3354" max="3354" width="10.28515625" style="2" customWidth="1"/>
    <col min="3355" max="3355" width="9.85546875" style="2" customWidth="1"/>
    <col min="3356" max="3356" width="10.28515625" style="2" customWidth="1"/>
    <col min="3357" max="3357" width="9" style="2" customWidth="1"/>
    <col min="3358" max="3358" width="9.85546875" style="2" customWidth="1"/>
    <col min="3359" max="3359" width="9.42578125" style="2" customWidth="1"/>
    <col min="3360" max="3360" width="9.140625" style="2" customWidth="1"/>
    <col min="3361" max="3361" width="11" style="2" customWidth="1"/>
    <col min="3362" max="3362" width="9.28515625" style="2" customWidth="1"/>
    <col min="3363" max="3363" width="9.5703125" style="2" customWidth="1"/>
    <col min="3364" max="3364" width="10.42578125" style="2" customWidth="1"/>
    <col min="3365" max="3365" width="9" style="2" customWidth="1"/>
    <col min="3366" max="3366" width="9.7109375" style="2" customWidth="1"/>
    <col min="3367" max="3367" width="10" style="2" customWidth="1"/>
    <col min="3368" max="3368" width="10.7109375" style="2" customWidth="1"/>
    <col min="3369" max="3369" width="9.42578125" style="2" customWidth="1"/>
    <col min="3370" max="3370" width="10.28515625" style="2" customWidth="1"/>
    <col min="3371" max="3371" width="9.5703125" style="2" customWidth="1"/>
    <col min="3372" max="3372" width="10" style="2" customWidth="1"/>
    <col min="3373" max="3373" width="9" style="2" customWidth="1"/>
    <col min="3374" max="3374" width="10.5703125" style="2" customWidth="1"/>
    <col min="3375" max="3375" width="11.28515625" style="2" customWidth="1"/>
    <col min="3376" max="3376" width="10.5703125" style="2" customWidth="1"/>
    <col min="3377" max="3377" width="9.7109375" style="2" customWidth="1"/>
    <col min="3378" max="3378" width="9.5703125" style="2" customWidth="1"/>
    <col min="3379" max="3379" width="10.5703125" style="2" customWidth="1"/>
    <col min="3380" max="3380" width="10.42578125" style="2" customWidth="1"/>
    <col min="3381" max="3381" width="9.85546875" style="2" customWidth="1"/>
    <col min="3382" max="3382" width="10.5703125" style="2" bestFit="1" customWidth="1"/>
    <col min="3383" max="3385" width="10.140625" style="2" bestFit="1" customWidth="1"/>
    <col min="3386" max="3386" width="8.85546875" style="2" customWidth="1"/>
    <col min="3387" max="3387" width="9.140625" style="2" bestFit="1" customWidth="1"/>
    <col min="3388" max="3389" width="10.140625" style="2" customWidth="1"/>
    <col min="3390" max="3390" width="10" style="2" customWidth="1"/>
    <col min="3391" max="3391" width="8.28515625" style="2" customWidth="1"/>
    <col min="3392" max="3392" width="9" style="2" customWidth="1"/>
    <col min="3393" max="3393" width="10.5703125" style="2" customWidth="1"/>
    <col min="3394" max="3394" width="10.140625" style="2" customWidth="1"/>
    <col min="3395" max="3395" width="9.7109375" style="2" customWidth="1"/>
    <col min="3396" max="3396" width="9.140625" style="2" customWidth="1"/>
    <col min="3397" max="3397" width="10.140625" style="2" customWidth="1"/>
    <col min="3398" max="3398" width="9" style="2" customWidth="1"/>
    <col min="3399" max="3399" width="9.28515625" style="2" customWidth="1"/>
    <col min="3400" max="3400" width="11" style="2" customWidth="1"/>
    <col min="3401" max="3401" width="10.140625" style="2" customWidth="1"/>
    <col min="3402" max="3402" width="10.7109375" style="2" customWidth="1"/>
    <col min="3403" max="3403" width="9.85546875" style="2" customWidth="1"/>
    <col min="3404" max="3404" width="11" style="2" customWidth="1"/>
    <col min="3405" max="3405" width="10" style="2" customWidth="1"/>
    <col min="3406" max="3406" width="9.140625" style="2" customWidth="1"/>
    <col min="3407" max="3407" width="10.28515625" style="2" customWidth="1"/>
    <col min="3408" max="3408" width="10.5703125" style="2" customWidth="1"/>
    <col min="3409" max="3409" width="9.85546875" style="2" customWidth="1"/>
    <col min="3410" max="3410" width="10.7109375" style="2" customWidth="1"/>
    <col min="3411" max="3411" width="9.42578125" style="2" customWidth="1"/>
    <col min="3412" max="3412" width="10.42578125" style="2" customWidth="1"/>
    <col min="3413" max="3413" width="9.85546875" style="2" customWidth="1"/>
    <col min="3414" max="3414" width="10.7109375" style="2" customWidth="1"/>
    <col min="3415" max="3415" width="10.140625" style="2" customWidth="1"/>
    <col min="3416" max="3416" width="10.28515625" style="2" customWidth="1"/>
    <col min="3417" max="3417" width="9" style="2" customWidth="1"/>
    <col min="3418" max="3418" width="11.140625" style="2" customWidth="1"/>
    <col min="3419" max="3419" width="10.28515625" style="2" customWidth="1"/>
    <col min="3420" max="3420" width="9.42578125" style="2" customWidth="1"/>
    <col min="3421" max="3421" width="10.42578125" style="2" customWidth="1"/>
    <col min="3422" max="3422" width="9.42578125" style="2" customWidth="1"/>
    <col min="3423" max="3423" width="9" style="2" customWidth="1"/>
    <col min="3424" max="3424" width="10.28515625" style="2" customWidth="1"/>
    <col min="3425" max="3425" width="8.42578125" style="2" customWidth="1"/>
    <col min="3426" max="3426" width="9.7109375" style="2" customWidth="1"/>
    <col min="3427" max="3427" width="8.7109375" style="2" customWidth="1"/>
    <col min="3428" max="3428" width="9.42578125" style="2" customWidth="1"/>
    <col min="3429" max="3429" width="10.85546875" style="2" customWidth="1"/>
    <col min="3430" max="3430" width="9.7109375" style="2" customWidth="1"/>
    <col min="3431" max="3431" width="11.42578125" style="2" customWidth="1"/>
    <col min="3432" max="3432" width="11" style="2" customWidth="1"/>
    <col min="3433" max="3433" width="9.42578125" style="2" customWidth="1"/>
    <col min="3434" max="3434" width="10.28515625" style="2" customWidth="1"/>
    <col min="3435" max="3435" width="10.42578125" style="2" customWidth="1"/>
    <col min="3436" max="3436" width="10.28515625" style="2" customWidth="1"/>
    <col min="3437" max="3438" width="9.140625" style="2" bestFit="1" customWidth="1"/>
    <col min="3439" max="3439" width="10" style="2" customWidth="1"/>
    <col min="3440" max="3440" width="9.140625" style="2" customWidth="1"/>
    <col min="3441" max="3441" width="9.85546875" style="2" customWidth="1"/>
    <col min="3442" max="3442" width="9.5703125" style="2" customWidth="1"/>
    <col min="3443" max="3443" width="10.85546875" style="2" customWidth="1"/>
    <col min="3444" max="3444" width="10.5703125" style="2" customWidth="1"/>
    <col min="3445" max="3445" width="10.28515625" style="2" customWidth="1"/>
    <col min="3446" max="3446" width="9.5703125" style="2" customWidth="1"/>
    <col min="3447" max="3447" width="9.28515625" style="2" customWidth="1"/>
    <col min="3448" max="3448" width="10.28515625" style="2" customWidth="1"/>
    <col min="3449" max="3449" width="10" style="2" customWidth="1"/>
    <col min="3450" max="3450" width="9" style="2" customWidth="1"/>
    <col min="3451" max="3451" width="10.42578125" style="2" customWidth="1"/>
    <col min="3452" max="3453" width="9.85546875" style="2" customWidth="1"/>
    <col min="3454" max="3454" width="10" style="2" customWidth="1"/>
    <col min="3455" max="3455" width="8.28515625" style="2" customWidth="1"/>
    <col min="3456" max="3456" width="9.85546875" style="2" customWidth="1"/>
    <col min="3457" max="3457" width="11.5703125" style="2" customWidth="1"/>
    <col min="3458" max="3458" width="9.140625" style="2" bestFit="1" customWidth="1"/>
    <col min="3459" max="3459" width="10" style="2" customWidth="1"/>
    <col min="3460" max="3460" width="8" style="2" customWidth="1"/>
    <col min="3461" max="3461" width="11.28515625" style="2" customWidth="1"/>
    <col min="3462" max="3464" width="10.140625" style="2" bestFit="1" customWidth="1"/>
    <col min="3465" max="3465" width="12.28515625" style="2" customWidth="1"/>
    <col min="3466" max="3467" width="5.7109375" style="2"/>
    <col min="3468" max="3468" width="10.28515625" style="2" bestFit="1" customWidth="1"/>
    <col min="3469" max="3474" width="5.7109375" style="2"/>
    <col min="3475" max="3475" width="22" style="2" customWidth="1"/>
    <col min="3476" max="3476" width="16" style="2" customWidth="1"/>
    <col min="3477" max="3477" width="7.140625" style="2" bestFit="1" customWidth="1"/>
    <col min="3478" max="3478" width="9.28515625" style="2" bestFit="1" customWidth="1"/>
    <col min="3479" max="3539" width="5.7109375" style="2"/>
    <col min="3540" max="3540" width="29.42578125" style="2" customWidth="1"/>
    <col min="3541" max="3541" width="4.7109375" style="2" customWidth="1"/>
    <col min="3542" max="3543" width="9.7109375" style="2" customWidth="1"/>
    <col min="3544" max="3544" width="9.42578125" style="2" customWidth="1"/>
    <col min="3545" max="3545" width="9.140625" style="2" customWidth="1"/>
    <col min="3546" max="3546" width="8.85546875" style="2" customWidth="1"/>
    <col min="3547" max="3547" width="9.7109375" style="2" customWidth="1"/>
    <col min="3548" max="3548" width="8.140625" style="2" customWidth="1"/>
    <col min="3549" max="3549" width="10.42578125" style="2" customWidth="1"/>
    <col min="3550" max="3550" width="9.140625" style="2" customWidth="1"/>
    <col min="3551" max="3551" width="9.85546875" style="2" customWidth="1"/>
    <col min="3552" max="3552" width="9.42578125" style="2" customWidth="1"/>
    <col min="3553" max="3553" width="9.5703125" style="2" customWidth="1"/>
    <col min="3554" max="3554" width="9.28515625" style="2" customWidth="1"/>
    <col min="3555" max="3555" width="9.140625" style="2" customWidth="1"/>
    <col min="3556" max="3556" width="9.28515625" style="2" bestFit="1" customWidth="1"/>
    <col min="3557" max="3557" width="10.5703125" style="2" customWidth="1"/>
    <col min="3558" max="3558" width="7.7109375" style="2" customWidth="1"/>
    <col min="3559" max="3559" width="9.140625" style="2" customWidth="1"/>
    <col min="3560" max="3560" width="7.85546875" style="2" customWidth="1"/>
    <col min="3561" max="3561" width="8.7109375" style="2" customWidth="1"/>
    <col min="3562" max="3562" width="9.42578125" style="2" customWidth="1"/>
    <col min="3563" max="3563" width="10.28515625" style="2" customWidth="1"/>
    <col min="3564" max="3564" width="9.85546875" style="2" customWidth="1"/>
    <col min="3565" max="3565" width="10.140625" style="2" customWidth="1"/>
    <col min="3566" max="3567" width="8.140625" style="2" customWidth="1"/>
    <col min="3568" max="3569" width="7.85546875" style="2" customWidth="1"/>
    <col min="3570" max="3570" width="9.140625" style="2" customWidth="1"/>
    <col min="3571" max="3571" width="9.7109375" style="2" customWidth="1"/>
    <col min="3572" max="3572" width="8.28515625" style="2" customWidth="1"/>
    <col min="3573" max="3573" width="9.140625" style="2" customWidth="1"/>
    <col min="3574" max="3574" width="10" style="2" customWidth="1"/>
    <col min="3575" max="3575" width="10.28515625" style="2" customWidth="1"/>
    <col min="3576" max="3576" width="9.85546875" style="2" customWidth="1"/>
    <col min="3577" max="3577" width="9.42578125" style="2" customWidth="1"/>
    <col min="3578" max="3578" width="9.7109375" style="2" customWidth="1"/>
    <col min="3579" max="3579" width="9.42578125" style="2" customWidth="1"/>
    <col min="3580" max="3580" width="9.28515625" style="2" customWidth="1"/>
    <col min="3581" max="3581" width="10.5703125" style="2" customWidth="1"/>
    <col min="3582" max="3583" width="8.85546875" style="2" customWidth="1"/>
    <col min="3584" max="3584" width="8.28515625" style="2" customWidth="1"/>
    <col min="3585" max="3585" width="8.85546875" style="2" customWidth="1"/>
    <col min="3586" max="3586" width="9.5703125" style="2" customWidth="1"/>
    <col min="3587" max="3587" width="8.42578125" style="2" customWidth="1"/>
    <col min="3588" max="3588" width="9.5703125" style="2" customWidth="1"/>
    <col min="3589" max="3589" width="8.28515625" style="2" customWidth="1"/>
    <col min="3590" max="3590" width="9.28515625" style="2" customWidth="1"/>
    <col min="3591" max="3591" width="9.85546875" style="2" customWidth="1"/>
    <col min="3592" max="3592" width="10.28515625" style="2" customWidth="1"/>
    <col min="3593" max="3593" width="10.42578125" style="2" customWidth="1"/>
    <col min="3594" max="3594" width="9.5703125" style="2" customWidth="1"/>
    <col min="3595" max="3595" width="10.140625" style="2" customWidth="1"/>
    <col min="3596" max="3596" width="9.5703125" style="2" customWidth="1"/>
    <col min="3597" max="3597" width="10.28515625" style="2" customWidth="1"/>
    <col min="3598" max="3598" width="10" style="2" customWidth="1"/>
    <col min="3599" max="3599" width="9.140625" style="2" customWidth="1"/>
    <col min="3600" max="3600" width="10.5703125" style="2" customWidth="1"/>
    <col min="3601" max="3601" width="9.28515625" style="2" customWidth="1"/>
    <col min="3602" max="3603" width="9.42578125" style="2" customWidth="1"/>
    <col min="3604" max="3604" width="9" style="2" customWidth="1"/>
    <col min="3605" max="3605" width="11" style="2" customWidth="1"/>
    <col min="3606" max="3606" width="9.28515625" style="2" customWidth="1"/>
    <col min="3607" max="3607" width="9.7109375" style="2" customWidth="1"/>
    <col min="3608" max="3608" width="10.85546875" style="2" customWidth="1"/>
    <col min="3609" max="3609" width="10.5703125" style="2" customWidth="1"/>
    <col min="3610" max="3610" width="10.28515625" style="2" customWidth="1"/>
    <col min="3611" max="3611" width="9.85546875" style="2" customWidth="1"/>
    <col min="3612" max="3612" width="10.28515625" style="2" customWidth="1"/>
    <col min="3613" max="3613" width="9" style="2" customWidth="1"/>
    <col min="3614" max="3614" width="9.85546875" style="2" customWidth="1"/>
    <col min="3615" max="3615" width="9.42578125" style="2" customWidth="1"/>
    <col min="3616" max="3616" width="9.140625" style="2" customWidth="1"/>
    <col min="3617" max="3617" width="11" style="2" customWidth="1"/>
    <col min="3618" max="3618" width="9.28515625" style="2" customWidth="1"/>
    <col min="3619" max="3619" width="9.5703125" style="2" customWidth="1"/>
    <col min="3620" max="3620" width="10.42578125" style="2" customWidth="1"/>
    <col min="3621" max="3621" width="9" style="2" customWidth="1"/>
    <col min="3622" max="3622" width="9.7109375" style="2" customWidth="1"/>
    <col min="3623" max="3623" width="10" style="2" customWidth="1"/>
    <col min="3624" max="3624" width="10.7109375" style="2" customWidth="1"/>
    <col min="3625" max="3625" width="9.42578125" style="2" customWidth="1"/>
    <col min="3626" max="3626" width="10.28515625" style="2" customWidth="1"/>
    <col min="3627" max="3627" width="9.5703125" style="2" customWidth="1"/>
    <col min="3628" max="3628" width="10" style="2" customWidth="1"/>
    <col min="3629" max="3629" width="9" style="2" customWidth="1"/>
    <col min="3630" max="3630" width="10.5703125" style="2" customWidth="1"/>
    <col min="3631" max="3631" width="11.28515625" style="2" customWidth="1"/>
    <col min="3632" max="3632" width="10.5703125" style="2" customWidth="1"/>
    <col min="3633" max="3633" width="9.7109375" style="2" customWidth="1"/>
    <col min="3634" max="3634" width="9.5703125" style="2" customWidth="1"/>
    <col min="3635" max="3635" width="10.5703125" style="2" customWidth="1"/>
    <col min="3636" max="3636" width="10.42578125" style="2" customWidth="1"/>
    <col min="3637" max="3637" width="9.85546875" style="2" customWidth="1"/>
    <col min="3638" max="3638" width="10.5703125" style="2" bestFit="1" customWidth="1"/>
    <col min="3639" max="3641" width="10.140625" style="2" bestFit="1" customWidth="1"/>
    <col min="3642" max="3642" width="8.85546875" style="2" customWidth="1"/>
    <col min="3643" max="3643" width="9.140625" style="2" bestFit="1" customWidth="1"/>
    <col min="3644" max="3645" width="10.140625" style="2" customWidth="1"/>
    <col min="3646" max="3646" width="10" style="2" customWidth="1"/>
    <col min="3647" max="3647" width="8.28515625" style="2" customWidth="1"/>
    <col min="3648" max="3648" width="9" style="2" customWidth="1"/>
    <col min="3649" max="3649" width="10.5703125" style="2" customWidth="1"/>
    <col min="3650" max="3650" width="10.140625" style="2" customWidth="1"/>
    <col min="3651" max="3651" width="9.7109375" style="2" customWidth="1"/>
    <col min="3652" max="3652" width="9.140625" style="2" customWidth="1"/>
    <col min="3653" max="3653" width="10.140625" style="2" customWidth="1"/>
    <col min="3654" max="3654" width="9" style="2" customWidth="1"/>
    <col min="3655" max="3655" width="9.28515625" style="2" customWidth="1"/>
    <col min="3656" max="3656" width="11" style="2" customWidth="1"/>
    <col min="3657" max="3657" width="10.140625" style="2" customWidth="1"/>
    <col min="3658" max="3658" width="10.7109375" style="2" customWidth="1"/>
    <col min="3659" max="3659" width="9.85546875" style="2" customWidth="1"/>
    <col min="3660" max="3660" width="11" style="2" customWidth="1"/>
    <col min="3661" max="3661" width="10" style="2" customWidth="1"/>
    <col min="3662" max="3662" width="9.140625" style="2" customWidth="1"/>
    <col min="3663" max="3663" width="10.28515625" style="2" customWidth="1"/>
    <col min="3664" max="3664" width="10.5703125" style="2" customWidth="1"/>
    <col min="3665" max="3665" width="9.85546875" style="2" customWidth="1"/>
    <col min="3666" max="3666" width="10.7109375" style="2" customWidth="1"/>
    <col min="3667" max="3667" width="9.42578125" style="2" customWidth="1"/>
    <col min="3668" max="3668" width="10.42578125" style="2" customWidth="1"/>
    <col min="3669" max="3669" width="9.85546875" style="2" customWidth="1"/>
    <col min="3670" max="3670" width="10.7109375" style="2" customWidth="1"/>
    <col min="3671" max="3671" width="10.140625" style="2" customWidth="1"/>
    <col min="3672" max="3672" width="10.28515625" style="2" customWidth="1"/>
    <col min="3673" max="3673" width="9" style="2" customWidth="1"/>
    <col min="3674" max="3674" width="11.140625" style="2" customWidth="1"/>
    <col min="3675" max="3675" width="10.28515625" style="2" customWidth="1"/>
    <col min="3676" max="3676" width="9.42578125" style="2" customWidth="1"/>
    <col min="3677" max="3677" width="10.42578125" style="2" customWidth="1"/>
    <col min="3678" max="3678" width="9.42578125" style="2" customWidth="1"/>
    <col min="3679" max="3679" width="9" style="2" customWidth="1"/>
    <col min="3680" max="3680" width="10.28515625" style="2" customWidth="1"/>
    <col min="3681" max="3681" width="8.42578125" style="2" customWidth="1"/>
    <col min="3682" max="3682" width="9.7109375" style="2" customWidth="1"/>
    <col min="3683" max="3683" width="8.7109375" style="2" customWidth="1"/>
    <col min="3684" max="3684" width="9.42578125" style="2" customWidth="1"/>
    <col min="3685" max="3685" width="10.85546875" style="2" customWidth="1"/>
    <col min="3686" max="3686" width="9.7109375" style="2" customWidth="1"/>
    <col min="3687" max="3687" width="11.42578125" style="2" customWidth="1"/>
    <col min="3688" max="3688" width="11" style="2" customWidth="1"/>
    <col min="3689" max="3689" width="9.42578125" style="2" customWidth="1"/>
    <col min="3690" max="3690" width="10.28515625" style="2" customWidth="1"/>
    <col min="3691" max="3691" width="10.42578125" style="2" customWidth="1"/>
    <col min="3692" max="3692" width="10.28515625" style="2" customWidth="1"/>
    <col min="3693" max="3694" width="9.140625" style="2" bestFit="1" customWidth="1"/>
    <col min="3695" max="3695" width="10" style="2" customWidth="1"/>
    <col min="3696" max="3696" width="9.140625" style="2" customWidth="1"/>
    <col min="3697" max="3697" width="9.85546875" style="2" customWidth="1"/>
    <col min="3698" max="3698" width="9.5703125" style="2" customWidth="1"/>
    <col min="3699" max="3699" width="10.85546875" style="2" customWidth="1"/>
    <col min="3700" max="3700" width="10.5703125" style="2" customWidth="1"/>
    <col min="3701" max="3701" width="10.28515625" style="2" customWidth="1"/>
    <col min="3702" max="3702" width="9.5703125" style="2" customWidth="1"/>
    <col min="3703" max="3703" width="9.28515625" style="2" customWidth="1"/>
    <col min="3704" max="3704" width="10.28515625" style="2" customWidth="1"/>
    <col min="3705" max="3705" width="10" style="2" customWidth="1"/>
    <col min="3706" max="3706" width="9" style="2" customWidth="1"/>
    <col min="3707" max="3707" width="10.42578125" style="2" customWidth="1"/>
    <col min="3708" max="3709" width="9.85546875" style="2" customWidth="1"/>
    <col min="3710" max="3710" width="10" style="2" customWidth="1"/>
    <col min="3711" max="3711" width="8.28515625" style="2" customWidth="1"/>
    <col min="3712" max="3712" width="9.85546875" style="2" customWidth="1"/>
    <col min="3713" max="3713" width="11.5703125" style="2" customWidth="1"/>
    <col min="3714" max="3714" width="9.140625" style="2" bestFit="1" customWidth="1"/>
    <col min="3715" max="3715" width="10" style="2" customWidth="1"/>
    <col min="3716" max="3716" width="8" style="2" customWidth="1"/>
    <col min="3717" max="3717" width="11.28515625" style="2" customWidth="1"/>
    <col min="3718" max="3720" width="10.140625" style="2" bestFit="1" customWidth="1"/>
    <col min="3721" max="3721" width="12.28515625" style="2" customWidth="1"/>
    <col min="3722" max="3723" width="5.7109375" style="2"/>
    <col min="3724" max="3724" width="10.28515625" style="2" bestFit="1" customWidth="1"/>
    <col min="3725" max="3730" width="5.7109375" style="2"/>
    <col min="3731" max="3731" width="22" style="2" customWidth="1"/>
    <col min="3732" max="3732" width="16" style="2" customWidth="1"/>
    <col min="3733" max="3733" width="7.140625" style="2" bestFit="1" customWidth="1"/>
    <col min="3734" max="3734" width="9.28515625" style="2" bestFit="1" customWidth="1"/>
    <col min="3735" max="3795" width="5.7109375" style="2"/>
    <col min="3796" max="3796" width="29.42578125" style="2" customWidth="1"/>
    <col min="3797" max="3797" width="4.7109375" style="2" customWidth="1"/>
    <col min="3798" max="3799" width="9.7109375" style="2" customWidth="1"/>
    <col min="3800" max="3800" width="9.42578125" style="2" customWidth="1"/>
    <col min="3801" max="3801" width="9.140625" style="2" customWidth="1"/>
    <col min="3802" max="3802" width="8.85546875" style="2" customWidth="1"/>
    <col min="3803" max="3803" width="9.7109375" style="2" customWidth="1"/>
    <col min="3804" max="3804" width="8.140625" style="2" customWidth="1"/>
    <col min="3805" max="3805" width="10.42578125" style="2" customWidth="1"/>
    <col min="3806" max="3806" width="9.140625" style="2" customWidth="1"/>
    <col min="3807" max="3807" width="9.85546875" style="2" customWidth="1"/>
    <col min="3808" max="3808" width="9.42578125" style="2" customWidth="1"/>
    <col min="3809" max="3809" width="9.5703125" style="2" customWidth="1"/>
    <col min="3810" max="3810" width="9.28515625" style="2" customWidth="1"/>
    <col min="3811" max="3811" width="9.140625" style="2" customWidth="1"/>
    <col min="3812" max="3812" width="9.28515625" style="2" bestFit="1" customWidth="1"/>
    <col min="3813" max="3813" width="10.5703125" style="2" customWidth="1"/>
    <col min="3814" max="3814" width="7.7109375" style="2" customWidth="1"/>
    <col min="3815" max="3815" width="9.140625" style="2" customWidth="1"/>
    <col min="3816" max="3816" width="7.85546875" style="2" customWidth="1"/>
    <col min="3817" max="3817" width="8.7109375" style="2" customWidth="1"/>
    <col min="3818" max="3818" width="9.42578125" style="2" customWidth="1"/>
    <col min="3819" max="3819" width="10.28515625" style="2" customWidth="1"/>
    <col min="3820" max="3820" width="9.85546875" style="2" customWidth="1"/>
    <col min="3821" max="3821" width="10.140625" style="2" customWidth="1"/>
    <col min="3822" max="3823" width="8.140625" style="2" customWidth="1"/>
    <col min="3824" max="3825" width="7.85546875" style="2" customWidth="1"/>
    <col min="3826" max="3826" width="9.140625" style="2" customWidth="1"/>
    <col min="3827" max="3827" width="9.7109375" style="2" customWidth="1"/>
    <col min="3828" max="3828" width="8.28515625" style="2" customWidth="1"/>
    <col min="3829" max="3829" width="9.140625" style="2" customWidth="1"/>
    <col min="3830" max="3830" width="10" style="2" customWidth="1"/>
    <col min="3831" max="3831" width="10.28515625" style="2" customWidth="1"/>
    <col min="3832" max="3832" width="9.85546875" style="2" customWidth="1"/>
    <col min="3833" max="3833" width="9.42578125" style="2" customWidth="1"/>
    <col min="3834" max="3834" width="9.7109375" style="2" customWidth="1"/>
    <col min="3835" max="3835" width="9.42578125" style="2" customWidth="1"/>
    <col min="3836" max="3836" width="9.28515625" style="2" customWidth="1"/>
    <col min="3837" max="3837" width="10.5703125" style="2" customWidth="1"/>
    <col min="3838" max="3839" width="8.85546875" style="2" customWidth="1"/>
    <col min="3840" max="3840" width="8.28515625" style="2" customWidth="1"/>
    <col min="3841" max="3841" width="8.85546875" style="2" customWidth="1"/>
    <col min="3842" max="3842" width="9.5703125" style="2" customWidth="1"/>
    <col min="3843" max="3843" width="8.42578125" style="2" customWidth="1"/>
    <col min="3844" max="3844" width="9.5703125" style="2" customWidth="1"/>
    <col min="3845" max="3845" width="8.28515625" style="2" customWidth="1"/>
    <col min="3846" max="3846" width="9.28515625" style="2" customWidth="1"/>
    <col min="3847" max="3847" width="9.85546875" style="2" customWidth="1"/>
    <col min="3848" max="3848" width="10.28515625" style="2" customWidth="1"/>
    <col min="3849" max="3849" width="10.42578125" style="2" customWidth="1"/>
    <col min="3850" max="3850" width="9.5703125" style="2" customWidth="1"/>
    <col min="3851" max="3851" width="10.140625" style="2" customWidth="1"/>
    <col min="3852" max="3852" width="9.5703125" style="2" customWidth="1"/>
    <col min="3853" max="3853" width="10.28515625" style="2" customWidth="1"/>
    <col min="3854" max="3854" width="10" style="2" customWidth="1"/>
    <col min="3855" max="3855" width="9.140625" style="2" customWidth="1"/>
    <col min="3856" max="3856" width="10.5703125" style="2" customWidth="1"/>
    <col min="3857" max="3857" width="9.28515625" style="2" customWidth="1"/>
    <col min="3858" max="3859" width="9.42578125" style="2" customWidth="1"/>
    <col min="3860" max="3860" width="9" style="2" customWidth="1"/>
    <col min="3861" max="3861" width="11" style="2" customWidth="1"/>
    <col min="3862" max="3862" width="9.28515625" style="2" customWidth="1"/>
    <col min="3863" max="3863" width="9.7109375" style="2" customWidth="1"/>
    <col min="3864" max="3864" width="10.85546875" style="2" customWidth="1"/>
    <col min="3865" max="3865" width="10.5703125" style="2" customWidth="1"/>
    <col min="3866" max="3866" width="10.28515625" style="2" customWidth="1"/>
    <col min="3867" max="3867" width="9.85546875" style="2" customWidth="1"/>
    <col min="3868" max="3868" width="10.28515625" style="2" customWidth="1"/>
    <col min="3869" max="3869" width="9" style="2" customWidth="1"/>
    <col min="3870" max="3870" width="9.85546875" style="2" customWidth="1"/>
    <col min="3871" max="3871" width="9.42578125" style="2" customWidth="1"/>
    <col min="3872" max="3872" width="9.140625" style="2" customWidth="1"/>
    <col min="3873" max="3873" width="11" style="2" customWidth="1"/>
    <col min="3874" max="3874" width="9.28515625" style="2" customWidth="1"/>
    <col min="3875" max="3875" width="9.5703125" style="2" customWidth="1"/>
    <col min="3876" max="3876" width="10.42578125" style="2" customWidth="1"/>
    <col min="3877" max="3877" width="9" style="2" customWidth="1"/>
    <col min="3878" max="3878" width="9.7109375" style="2" customWidth="1"/>
    <col min="3879" max="3879" width="10" style="2" customWidth="1"/>
    <col min="3880" max="3880" width="10.7109375" style="2" customWidth="1"/>
    <col min="3881" max="3881" width="9.42578125" style="2" customWidth="1"/>
    <col min="3882" max="3882" width="10.28515625" style="2" customWidth="1"/>
    <col min="3883" max="3883" width="9.5703125" style="2" customWidth="1"/>
    <col min="3884" max="3884" width="10" style="2" customWidth="1"/>
    <col min="3885" max="3885" width="9" style="2" customWidth="1"/>
    <col min="3886" max="3886" width="10.5703125" style="2" customWidth="1"/>
    <col min="3887" max="3887" width="11.28515625" style="2" customWidth="1"/>
    <col min="3888" max="3888" width="10.5703125" style="2" customWidth="1"/>
    <col min="3889" max="3889" width="9.7109375" style="2" customWidth="1"/>
    <col min="3890" max="3890" width="9.5703125" style="2" customWidth="1"/>
    <col min="3891" max="3891" width="10.5703125" style="2" customWidth="1"/>
    <col min="3892" max="3892" width="10.42578125" style="2" customWidth="1"/>
    <col min="3893" max="3893" width="9.85546875" style="2" customWidth="1"/>
    <col min="3894" max="3894" width="10.5703125" style="2" bestFit="1" customWidth="1"/>
    <col min="3895" max="3897" width="10.140625" style="2" bestFit="1" customWidth="1"/>
    <col min="3898" max="3898" width="8.85546875" style="2" customWidth="1"/>
    <col min="3899" max="3899" width="9.140625" style="2" bestFit="1" customWidth="1"/>
    <col min="3900" max="3901" width="10.140625" style="2" customWidth="1"/>
    <col min="3902" max="3902" width="10" style="2" customWidth="1"/>
    <col min="3903" max="3903" width="8.28515625" style="2" customWidth="1"/>
    <col min="3904" max="3904" width="9" style="2" customWidth="1"/>
    <col min="3905" max="3905" width="10.5703125" style="2" customWidth="1"/>
    <col min="3906" max="3906" width="10.140625" style="2" customWidth="1"/>
    <col min="3907" max="3907" width="9.7109375" style="2" customWidth="1"/>
    <col min="3908" max="3908" width="9.140625" style="2" customWidth="1"/>
    <col min="3909" max="3909" width="10.140625" style="2" customWidth="1"/>
    <col min="3910" max="3910" width="9" style="2" customWidth="1"/>
    <col min="3911" max="3911" width="9.28515625" style="2" customWidth="1"/>
    <col min="3912" max="3912" width="11" style="2" customWidth="1"/>
    <col min="3913" max="3913" width="10.140625" style="2" customWidth="1"/>
    <col min="3914" max="3914" width="10.7109375" style="2" customWidth="1"/>
    <col min="3915" max="3915" width="9.85546875" style="2" customWidth="1"/>
    <col min="3916" max="3916" width="11" style="2" customWidth="1"/>
    <col min="3917" max="3917" width="10" style="2" customWidth="1"/>
    <col min="3918" max="3918" width="9.140625" style="2" customWidth="1"/>
    <col min="3919" max="3919" width="10.28515625" style="2" customWidth="1"/>
    <col min="3920" max="3920" width="10.5703125" style="2" customWidth="1"/>
    <col min="3921" max="3921" width="9.85546875" style="2" customWidth="1"/>
    <col min="3922" max="3922" width="10.7109375" style="2" customWidth="1"/>
    <col min="3923" max="3923" width="9.42578125" style="2" customWidth="1"/>
    <col min="3924" max="3924" width="10.42578125" style="2" customWidth="1"/>
    <col min="3925" max="3925" width="9.85546875" style="2" customWidth="1"/>
    <col min="3926" max="3926" width="10.7109375" style="2" customWidth="1"/>
    <col min="3927" max="3927" width="10.140625" style="2" customWidth="1"/>
    <col min="3928" max="3928" width="10.28515625" style="2" customWidth="1"/>
    <col min="3929" max="3929" width="9" style="2" customWidth="1"/>
    <col min="3930" max="3930" width="11.140625" style="2" customWidth="1"/>
    <col min="3931" max="3931" width="10.28515625" style="2" customWidth="1"/>
    <col min="3932" max="3932" width="9.42578125" style="2" customWidth="1"/>
    <col min="3933" max="3933" width="10.42578125" style="2" customWidth="1"/>
    <col min="3934" max="3934" width="9.42578125" style="2" customWidth="1"/>
    <col min="3935" max="3935" width="9" style="2" customWidth="1"/>
    <col min="3936" max="3936" width="10.28515625" style="2" customWidth="1"/>
    <col min="3937" max="3937" width="8.42578125" style="2" customWidth="1"/>
    <col min="3938" max="3938" width="9.7109375" style="2" customWidth="1"/>
    <col min="3939" max="3939" width="8.7109375" style="2" customWidth="1"/>
    <col min="3940" max="3940" width="9.42578125" style="2" customWidth="1"/>
    <col min="3941" max="3941" width="10.85546875" style="2" customWidth="1"/>
    <col min="3942" max="3942" width="9.7109375" style="2" customWidth="1"/>
    <col min="3943" max="3943" width="11.42578125" style="2" customWidth="1"/>
    <col min="3944" max="3944" width="11" style="2" customWidth="1"/>
    <col min="3945" max="3945" width="9.42578125" style="2" customWidth="1"/>
    <col min="3946" max="3946" width="10.28515625" style="2" customWidth="1"/>
    <col min="3947" max="3947" width="10.42578125" style="2" customWidth="1"/>
    <col min="3948" max="3948" width="10.28515625" style="2" customWidth="1"/>
    <col min="3949" max="3950" width="9.140625" style="2" bestFit="1" customWidth="1"/>
    <col min="3951" max="3951" width="10" style="2" customWidth="1"/>
    <col min="3952" max="3952" width="9.140625" style="2" customWidth="1"/>
    <col min="3953" max="3953" width="9.85546875" style="2" customWidth="1"/>
    <col min="3954" max="3954" width="9.5703125" style="2" customWidth="1"/>
    <col min="3955" max="3955" width="10.85546875" style="2" customWidth="1"/>
    <col min="3956" max="3956" width="10.5703125" style="2" customWidth="1"/>
    <col min="3957" max="3957" width="10.28515625" style="2" customWidth="1"/>
    <col min="3958" max="3958" width="9.5703125" style="2" customWidth="1"/>
    <col min="3959" max="3959" width="9.28515625" style="2" customWidth="1"/>
    <col min="3960" max="3960" width="10.28515625" style="2" customWidth="1"/>
    <col min="3961" max="3961" width="10" style="2" customWidth="1"/>
    <col min="3962" max="3962" width="9" style="2" customWidth="1"/>
    <col min="3963" max="3963" width="10.42578125" style="2" customWidth="1"/>
    <col min="3964" max="3965" width="9.85546875" style="2" customWidth="1"/>
    <col min="3966" max="3966" width="10" style="2" customWidth="1"/>
    <col min="3967" max="3967" width="8.28515625" style="2" customWidth="1"/>
    <col min="3968" max="3968" width="9.85546875" style="2" customWidth="1"/>
    <col min="3969" max="3969" width="11.5703125" style="2" customWidth="1"/>
    <col min="3970" max="3970" width="9.140625" style="2" bestFit="1" customWidth="1"/>
    <col min="3971" max="3971" width="10" style="2" customWidth="1"/>
    <col min="3972" max="3972" width="8" style="2" customWidth="1"/>
    <col min="3973" max="3973" width="11.28515625" style="2" customWidth="1"/>
    <col min="3974" max="3976" width="10.140625" style="2" bestFit="1" customWidth="1"/>
    <col min="3977" max="3977" width="12.28515625" style="2" customWidth="1"/>
    <col min="3978" max="3979" width="5.7109375" style="2"/>
    <col min="3980" max="3980" width="10.28515625" style="2" bestFit="1" customWidth="1"/>
    <col min="3981" max="3986" width="5.7109375" style="2"/>
    <col min="3987" max="3987" width="22" style="2" customWidth="1"/>
    <col min="3988" max="3988" width="16" style="2" customWidth="1"/>
    <col min="3989" max="3989" width="7.140625" style="2" bestFit="1" customWidth="1"/>
    <col min="3990" max="3990" width="9.28515625" style="2" bestFit="1" customWidth="1"/>
    <col min="3991" max="4051" width="5.7109375" style="2"/>
    <col min="4052" max="4052" width="29.42578125" style="2" customWidth="1"/>
    <col min="4053" max="4053" width="4.7109375" style="2" customWidth="1"/>
    <col min="4054" max="4055" width="9.7109375" style="2" customWidth="1"/>
    <col min="4056" max="4056" width="9.42578125" style="2" customWidth="1"/>
    <col min="4057" max="4057" width="9.140625" style="2" customWidth="1"/>
    <col min="4058" max="4058" width="8.85546875" style="2" customWidth="1"/>
    <col min="4059" max="4059" width="9.7109375" style="2" customWidth="1"/>
    <col min="4060" max="4060" width="8.140625" style="2" customWidth="1"/>
    <col min="4061" max="4061" width="10.42578125" style="2" customWidth="1"/>
    <col min="4062" max="4062" width="9.140625" style="2" customWidth="1"/>
    <col min="4063" max="4063" width="9.85546875" style="2" customWidth="1"/>
    <col min="4064" max="4064" width="9.42578125" style="2" customWidth="1"/>
    <col min="4065" max="4065" width="9.5703125" style="2" customWidth="1"/>
    <col min="4066" max="4066" width="9.28515625" style="2" customWidth="1"/>
    <col min="4067" max="4067" width="9.140625" style="2" customWidth="1"/>
    <col min="4068" max="4068" width="9.28515625" style="2" bestFit="1" customWidth="1"/>
    <col min="4069" max="4069" width="10.5703125" style="2" customWidth="1"/>
    <col min="4070" max="4070" width="7.7109375" style="2" customWidth="1"/>
    <col min="4071" max="4071" width="9.140625" style="2" customWidth="1"/>
    <col min="4072" max="4072" width="7.85546875" style="2" customWidth="1"/>
    <col min="4073" max="4073" width="8.7109375" style="2" customWidth="1"/>
    <col min="4074" max="4074" width="9.42578125" style="2" customWidth="1"/>
    <col min="4075" max="4075" width="10.28515625" style="2" customWidth="1"/>
    <col min="4076" max="4076" width="9.85546875" style="2" customWidth="1"/>
    <col min="4077" max="4077" width="10.140625" style="2" customWidth="1"/>
    <col min="4078" max="4079" width="8.140625" style="2" customWidth="1"/>
    <col min="4080" max="4081" width="7.85546875" style="2" customWidth="1"/>
    <col min="4082" max="4082" width="9.140625" style="2" customWidth="1"/>
    <col min="4083" max="4083" width="9.7109375" style="2" customWidth="1"/>
    <col min="4084" max="4084" width="8.28515625" style="2" customWidth="1"/>
    <col min="4085" max="4085" width="9.140625" style="2" customWidth="1"/>
    <col min="4086" max="4086" width="10" style="2" customWidth="1"/>
    <col min="4087" max="4087" width="10.28515625" style="2" customWidth="1"/>
    <col min="4088" max="4088" width="9.85546875" style="2" customWidth="1"/>
    <col min="4089" max="4089" width="9.42578125" style="2" customWidth="1"/>
    <col min="4090" max="4090" width="9.7109375" style="2" customWidth="1"/>
    <col min="4091" max="4091" width="9.42578125" style="2" customWidth="1"/>
    <col min="4092" max="4092" width="9.28515625" style="2" customWidth="1"/>
    <col min="4093" max="4093" width="10.5703125" style="2" customWidth="1"/>
    <col min="4094" max="4095" width="8.85546875" style="2" customWidth="1"/>
    <col min="4096" max="4096" width="8.28515625" style="2" customWidth="1"/>
    <col min="4097" max="4097" width="8.85546875" style="2" customWidth="1"/>
    <col min="4098" max="4098" width="9.5703125" style="2" customWidth="1"/>
    <col min="4099" max="4099" width="8.42578125" style="2" customWidth="1"/>
    <col min="4100" max="4100" width="9.5703125" style="2" customWidth="1"/>
    <col min="4101" max="4101" width="8.28515625" style="2" customWidth="1"/>
    <col min="4102" max="4102" width="9.28515625" style="2" customWidth="1"/>
    <col min="4103" max="4103" width="9.85546875" style="2" customWidth="1"/>
    <col min="4104" max="4104" width="10.28515625" style="2" customWidth="1"/>
    <col min="4105" max="4105" width="10.42578125" style="2" customWidth="1"/>
    <col min="4106" max="4106" width="9.5703125" style="2" customWidth="1"/>
    <col min="4107" max="4107" width="10.140625" style="2" customWidth="1"/>
    <col min="4108" max="4108" width="9.5703125" style="2" customWidth="1"/>
    <col min="4109" max="4109" width="10.28515625" style="2" customWidth="1"/>
    <col min="4110" max="4110" width="10" style="2" customWidth="1"/>
    <col min="4111" max="4111" width="9.140625" style="2" customWidth="1"/>
    <col min="4112" max="4112" width="10.5703125" style="2" customWidth="1"/>
    <col min="4113" max="4113" width="9.28515625" style="2" customWidth="1"/>
    <col min="4114" max="4115" width="9.42578125" style="2" customWidth="1"/>
    <col min="4116" max="4116" width="9" style="2" customWidth="1"/>
    <col min="4117" max="4117" width="11" style="2" customWidth="1"/>
    <col min="4118" max="4118" width="9.28515625" style="2" customWidth="1"/>
    <col min="4119" max="4119" width="9.7109375" style="2" customWidth="1"/>
    <col min="4120" max="4120" width="10.85546875" style="2" customWidth="1"/>
    <col min="4121" max="4121" width="10.5703125" style="2" customWidth="1"/>
    <col min="4122" max="4122" width="10.28515625" style="2" customWidth="1"/>
    <col min="4123" max="4123" width="9.85546875" style="2" customWidth="1"/>
    <col min="4124" max="4124" width="10.28515625" style="2" customWidth="1"/>
    <col min="4125" max="4125" width="9" style="2" customWidth="1"/>
    <col min="4126" max="4126" width="9.85546875" style="2" customWidth="1"/>
    <col min="4127" max="4127" width="9.42578125" style="2" customWidth="1"/>
    <col min="4128" max="4128" width="9.140625" style="2" customWidth="1"/>
    <col min="4129" max="4129" width="11" style="2" customWidth="1"/>
    <col min="4130" max="4130" width="9.28515625" style="2" customWidth="1"/>
    <col min="4131" max="4131" width="9.5703125" style="2" customWidth="1"/>
    <col min="4132" max="4132" width="10.42578125" style="2" customWidth="1"/>
    <col min="4133" max="4133" width="9" style="2" customWidth="1"/>
    <col min="4134" max="4134" width="9.7109375" style="2" customWidth="1"/>
    <col min="4135" max="4135" width="10" style="2" customWidth="1"/>
    <col min="4136" max="4136" width="10.7109375" style="2" customWidth="1"/>
    <col min="4137" max="4137" width="9.42578125" style="2" customWidth="1"/>
    <col min="4138" max="4138" width="10.28515625" style="2" customWidth="1"/>
    <col min="4139" max="4139" width="9.5703125" style="2" customWidth="1"/>
    <col min="4140" max="4140" width="10" style="2" customWidth="1"/>
    <col min="4141" max="4141" width="9" style="2" customWidth="1"/>
    <col min="4142" max="4142" width="10.5703125" style="2" customWidth="1"/>
    <col min="4143" max="4143" width="11.28515625" style="2" customWidth="1"/>
    <col min="4144" max="4144" width="10.5703125" style="2" customWidth="1"/>
    <col min="4145" max="4145" width="9.7109375" style="2" customWidth="1"/>
    <col min="4146" max="4146" width="9.5703125" style="2" customWidth="1"/>
    <col min="4147" max="4147" width="10.5703125" style="2" customWidth="1"/>
    <col min="4148" max="4148" width="10.42578125" style="2" customWidth="1"/>
    <col min="4149" max="4149" width="9.85546875" style="2" customWidth="1"/>
    <col min="4150" max="4150" width="10.5703125" style="2" bestFit="1" customWidth="1"/>
    <col min="4151" max="4153" width="10.140625" style="2" bestFit="1" customWidth="1"/>
    <col min="4154" max="4154" width="8.85546875" style="2" customWidth="1"/>
    <col min="4155" max="4155" width="9.140625" style="2" bestFit="1" customWidth="1"/>
    <col min="4156" max="4157" width="10.140625" style="2" customWidth="1"/>
    <col min="4158" max="4158" width="10" style="2" customWidth="1"/>
    <col min="4159" max="4159" width="8.28515625" style="2" customWidth="1"/>
    <col min="4160" max="4160" width="9" style="2" customWidth="1"/>
    <col min="4161" max="4161" width="10.5703125" style="2" customWidth="1"/>
    <col min="4162" max="4162" width="10.140625" style="2" customWidth="1"/>
    <col min="4163" max="4163" width="9.7109375" style="2" customWidth="1"/>
    <col min="4164" max="4164" width="9.140625" style="2" customWidth="1"/>
    <col min="4165" max="4165" width="10.140625" style="2" customWidth="1"/>
    <col min="4166" max="4166" width="9" style="2" customWidth="1"/>
    <col min="4167" max="4167" width="9.28515625" style="2" customWidth="1"/>
    <col min="4168" max="4168" width="11" style="2" customWidth="1"/>
    <col min="4169" max="4169" width="10.140625" style="2" customWidth="1"/>
    <col min="4170" max="4170" width="10.7109375" style="2" customWidth="1"/>
    <col min="4171" max="4171" width="9.85546875" style="2" customWidth="1"/>
    <col min="4172" max="4172" width="11" style="2" customWidth="1"/>
    <col min="4173" max="4173" width="10" style="2" customWidth="1"/>
    <col min="4174" max="4174" width="9.140625" style="2" customWidth="1"/>
    <col min="4175" max="4175" width="10.28515625" style="2" customWidth="1"/>
    <col min="4176" max="4176" width="10.5703125" style="2" customWidth="1"/>
    <col min="4177" max="4177" width="9.85546875" style="2" customWidth="1"/>
    <col min="4178" max="4178" width="10.7109375" style="2" customWidth="1"/>
    <col min="4179" max="4179" width="9.42578125" style="2" customWidth="1"/>
    <col min="4180" max="4180" width="10.42578125" style="2" customWidth="1"/>
    <col min="4181" max="4181" width="9.85546875" style="2" customWidth="1"/>
    <col min="4182" max="4182" width="10.7109375" style="2" customWidth="1"/>
    <col min="4183" max="4183" width="10.140625" style="2" customWidth="1"/>
    <col min="4184" max="4184" width="10.28515625" style="2" customWidth="1"/>
    <col min="4185" max="4185" width="9" style="2" customWidth="1"/>
    <col min="4186" max="4186" width="11.140625" style="2" customWidth="1"/>
    <col min="4187" max="4187" width="10.28515625" style="2" customWidth="1"/>
    <col min="4188" max="4188" width="9.42578125" style="2" customWidth="1"/>
    <col min="4189" max="4189" width="10.42578125" style="2" customWidth="1"/>
    <col min="4190" max="4190" width="9.42578125" style="2" customWidth="1"/>
    <col min="4191" max="4191" width="9" style="2" customWidth="1"/>
    <col min="4192" max="4192" width="10.28515625" style="2" customWidth="1"/>
    <col min="4193" max="4193" width="8.42578125" style="2" customWidth="1"/>
    <col min="4194" max="4194" width="9.7109375" style="2" customWidth="1"/>
    <col min="4195" max="4195" width="8.7109375" style="2" customWidth="1"/>
    <col min="4196" max="4196" width="9.42578125" style="2" customWidth="1"/>
    <col min="4197" max="4197" width="10.85546875" style="2" customWidth="1"/>
    <col min="4198" max="4198" width="9.7109375" style="2" customWidth="1"/>
    <col min="4199" max="4199" width="11.42578125" style="2" customWidth="1"/>
    <col min="4200" max="4200" width="11" style="2" customWidth="1"/>
    <col min="4201" max="4201" width="9.42578125" style="2" customWidth="1"/>
    <col min="4202" max="4202" width="10.28515625" style="2" customWidth="1"/>
    <col min="4203" max="4203" width="10.42578125" style="2" customWidth="1"/>
    <col min="4204" max="4204" width="10.28515625" style="2" customWidth="1"/>
    <col min="4205" max="4206" width="9.140625" style="2" bestFit="1" customWidth="1"/>
    <col min="4207" max="4207" width="10" style="2" customWidth="1"/>
    <col min="4208" max="4208" width="9.140625" style="2" customWidth="1"/>
    <col min="4209" max="4209" width="9.85546875" style="2" customWidth="1"/>
    <col min="4210" max="4210" width="9.5703125" style="2" customWidth="1"/>
    <col min="4211" max="4211" width="10.85546875" style="2" customWidth="1"/>
    <col min="4212" max="4212" width="10.5703125" style="2" customWidth="1"/>
    <col min="4213" max="4213" width="10.28515625" style="2" customWidth="1"/>
    <col min="4214" max="4214" width="9.5703125" style="2" customWidth="1"/>
    <col min="4215" max="4215" width="9.28515625" style="2" customWidth="1"/>
    <col min="4216" max="4216" width="10.28515625" style="2" customWidth="1"/>
    <col min="4217" max="4217" width="10" style="2" customWidth="1"/>
    <col min="4218" max="4218" width="9" style="2" customWidth="1"/>
    <col min="4219" max="4219" width="10.42578125" style="2" customWidth="1"/>
    <col min="4220" max="4221" width="9.85546875" style="2" customWidth="1"/>
    <col min="4222" max="4222" width="10" style="2" customWidth="1"/>
    <col min="4223" max="4223" width="8.28515625" style="2" customWidth="1"/>
    <col min="4224" max="4224" width="9.85546875" style="2" customWidth="1"/>
    <col min="4225" max="4225" width="11.5703125" style="2" customWidth="1"/>
    <col min="4226" max="4226" width="9.140625" style="2" bestFit="1" customWidth="1"/>
    <col min="4227" max="4227" width="10" style="2" customWidth="1"/>
    <col min="4228" max="4228" width="8" style="2" customWidth="1"/>
    <col min="4229" max="4229" width="11.28515625" style="2" customWidth="1"/>
    <col min="4230" max="4232" width="10.140625" style="2" bestFit="1" customWidth="1"/>
    <col min="4233" max="4233" width="12.28515625" style="2" customWidth="1"/>
    <col min="4234" max="4235" width="5.7109375" style="2"/>
    <col min="4236" max="4236" width="10.28515625" style="2" bestFit="1" customWidth="1"/>
    <col min="4237" max="4242" width="5.7109375" style="2"/>
    <col min="4243" max="4243" width="22" style="2" customWidth="1"/>
    <col min="4244" max="4244" width="16" style="2" customWidth="1"/>
    <col min="4245" max="4245" width="7.140625" style="2" bestFit="1" customWidth="1"/>
    <col min="4246" max="4246" width="9.28515625" style="2" bestFit="1" customWidth="1"/>
    <col min="4247" max="4307" width="5.7109375" style="2"/>
    <col min="4308" max="4308" width="29.42578125" style="2" customWidth="1"/>
    <col min="4309" max="4309" width="4.7109375" style="2" customWidth="1"/>
    <col min="4310" max="4311" width="9.7109375" style="2" customWidth="1"/>
    <col min="4312" max="4312" width="9.42578125" style="2" customWidth="1"/>
    <col min="4313" max="4313" width="9.140625" style="2" customWidth="1"/>
    <col min="4314" max="4314" width="8.85546875" style="2" customWidth="1"/>
    <col min="4315" max="4315" width="9.7109375" style="2" customWidth="1"/>
    <col min="4316" max="4316" width="8.140625" style="2" customWidth="1"/>
    <col min="4317" max="4317" width="10.42578125" style="2" customWidth="1"/>
    <col min="4318" max="4318" width="9.140625" style="2" customWidth="1"/>
    <col min="4319" max="4319" width="9.85546875" style="2" customWidth="1"/>
    <col min="4320" max="4320" width="9.42578125" style="2" customWidth="1"/>
    <col min="4321" max="4321" width="9.5703125" style="2" customWidth="1"/>
    <col min="4322" max="4322" width="9.28515625" style="2" customWidth="1"/>
    <col min="4323" max="4323" width="9.140625" style="2" customWidth="1"/>
    <col min="4324" max="4324" width="9.28515625" style="2" bestFit="1" customWidth="1"/>
    <col min="4325" max="4325" width="10.5703125" style="2" customWidth="1"/>
    <col min="4326" max="4326" width="7.7109375" style="2" customWidth="1"/>
    <col min="4327" max="4327" width="9.140625" style="2" customWidth="1"/>
    <col min="4328" max="4328" width="7.85546875" style="2" customWidth="1"/>
    <col min="4329" max="4329" width="8.7109375" style="2" customWidth="1"/>
    <col min="4330" max="4330" width="9.42578125" style="2" customWidth="1"/>
    <col min="4331" max="4331" width="10.28515625" style="2" customWidth="1"/>
    <col min="4332" max="4332" width="9.85546875" style="2" customWidth="1"/>
    <col min="4333" max="4333" width="10.140625" style="2" customWidth="1"/>
    <col min="4334" max="4335" width="8.140625" style="2" customWidth="1"/>
    <col min="4336" max="4337" width="7.85546875" style="2" customWidth="1"/>
    <col min="4338" max="4338" width="9.140625" style="2" customWidth="1"/>
    <col min="4339" max="4339" width="9.7109375" style="2" customWidth="1"/>
    <col min="4340" max="4340" width="8.28515625" style="2" customWidth="1"/>
    <col min="4341" max="4341" width="9.140625" style="2" customWidth="1"/>
    <col min="4342" max="4342" width="10" style="2" customWidth="1"/>
    <col min="4343" max="4343" width="10.28515625" style="2" customWidth="1"/>
    <col min="4344" max="4344" width="9.85546875" style="2" customWidth="1"/>
    <col min="4345" max="4345" width="9.42578125" style="2" customWidth="1"/>
    <col min="4346" max="4346" width="9.7109375" style="2" customWidth="1"/>
    <col min="4347" max="4347" width="9.42578125" style="2" customWidth="1"/>
    <col min="4348" max="4348" width="9.28515625" style="2" customWidth="1"/>
    <col min="4349" max="4349" width="10.5703125" style="2" customWidth="1"/>
    <col min="4350" max="4351" width="8.85546875" style="2" customWidth="1"/>
    <col min="4352" max="4352" width="8.28515625" style="2" customWidth="1"/>
    <col min="4353" max="4353" width="8.85546875" style="2" customWidth="1"/>
    <col min="4354" max="4354" width="9.5703125" style="2" customWidth="1"/>
    <col min="4355" max="4355" width="8.42578125" style="2" customWidth="1"/>
    <col min="4356" max="4356" width="9.5703125" style="2" customWidth="1"/>
    <col min="4357" max="4357" width="8.28515625" style="2" customWidth="1"/>
    <col min="4358" max="4358" width="9.28515625" style="2" customWidth="1"/>
    <col min="4359" max="4359" width="9.85546875" style="2" customWidth="1"/>
    <col min="4360" max="4360" width="10.28515625" style="2" customWidth="1"/>
    <col min="4361" max="4361" width="10.42578125" style="2" customWidth="1"/>
    <col min="4362" max="4362" width="9.5703125" style="2" customWidth="1"/>
    <col min="4363" max="4363" width="10.140625" style="2" customWidth="1"/>
    <col min="4364" max="4364" width="9.5703125" style="2" customWidth="1"/>
    <col min="4365" max="4365" width="10.28515625" style="2" customWidth="1"/>
    <col min="4366" max="4366" width="10" style="2" customWidth="1"/>
    <col min="4367" max="4367" width="9.140625" style="2" customWidth="1"/>
    <col min="4368" max="4368" width="10.5703125" style="2" customWidth="1"/>
    <col min="4369" max="4369" width="9.28515625" style="2" customWidth="1"/>
    <col min="4370" max="4371" width="9.42578125" style="2" customWidth="1"/>
    <col min="4372" max="4372" width="9" style="2" customWidth="1"/>
    <col min="4373" max="4373" width="11" style="2" customWidth="1"/>
    <col min="4374" max="4374" width="9.28515625" style="2" customWidth="1"/>
    <col min="4375" max="4375" width="9.7109375" style="2" customWidth="1"/>
    <col min="4376" max="4376" width="10.85546875" style="2" customWidth="1"/>
    <col min="4377" max="4377" width="10.5703125" style="2" customWidth="1"/>
    <col min="4378" max="4378" width="10.28515625" style="2" customWidth="1"/>
    <col min="4379" max="4379" width="9.85546875" style="2" customWidth="1"/>
    <col min="4380" max="4380" width="10.28515625" style="2" customWidth="1"/>
    <col min="4381" max="4381" width="9" style="2" customWidth="1"/>
    <col min="4382" max="4382" width="9.85546875" style="2" customWidth="1"/>
    <col min="4383" max="4383" width="9.42578125" style="2" customWidth="1"/>
    <col min="4384" max="4384" width="9.140625" style="2" customWidth="1"/>
    <col min="4385" max="4385" width="11" style="2" customWidth="1"/>
    <col min="4386" max="4386" width="9.28515625" style="2" customWidth="1"/>
    <col min="4387" max="4387" width="9.5703125" style="2" customWidth="1"/>
    <col min="4388" max="4388" width="10.42578125" style="2" customWidth="1"/>
    <col min="4389" max="4389" width="9" style="2" customWidth="1"/>
    <col min="4390" max="4390" width="9.7109375" style="2" customWidth="1"/>
    <col min="4391" max="4391" width="10" style="2" customWidth="1"/>
    <col min="4392" max="4392" width="10.7109375" style="2" customWidth="1"/>
    <col min="4393" max="4393" width="9.42578125" style="2" customWidth="1"/>
    <col min="4394" max="4394" width="10.28515625" style="2" customWidth="1"/>
    <col min="4395" max="4395" width="9.5703125" style="2" customWidth="1"/>
    <col min="4396" max="4396" width="10" style="2" customWidth="1"/>
    <col min="4397" max="4397" width="9" style="2" customWidth="1"/>
    <col min="4398" max="4398" width="10.5703125" style="2" customWidth="1"/>
    <col min="4399" max="4399" width="11.28515625" style="2" customWidth="1"/>
    <col min="4400" max="4400" width="10.5703125" style="2" customWidth="1"/>
    <col min="4401" max="4401" width="9.7109375" style="2" customWidth="1"/>
    <col min="4402" max="4402" width="9.5703125" style="2" customWidth="1"/>
    <col min="4403" max="4403" width="10.5703125" style="2" customWidth="1"/>
    <col min="4404" max="4404" width="10.42578125" style="2" customWidth="1"/>
    <col min="4405" max="4405" width="9.85546875" style="2" customWidth="1"/>
    <col min="4406" max="4406" width="10.5703125" style="2" bestFit="1" customWidth="1"/>
    <col min="4407" max="4409" width="10.140625" style="2" bestFit="1" customWidth="1"/>
    <col min="4410" max="4410" width="8.85546875" style="2" customWidth="1"/>
    <col min="4411" max="4411" width="9.140625" style="2" bestFit="1" customWidth="1"/>
    <col min="4412" max="4413" width="10.140625" style="2" customWidth="1"/>
    <col min="4414" max="4414" width="10" style="2" customWidth="1"/>
    <col min="4415" max="4415" width="8.28515625" style="2" customWidth="1"/>
    <col min="4416" max="4416" width="9" style="2" customWidth="1"/>
    <col min="4417" max="4417" width="10.5703125" style="2" customWidth="1"/>
    <col min="4418" max="4418" width="10.140625" style="2" customWidth="1"/>
    <col min="4419" max="4419" width="9.7109375" style="2" customWidth="1"/>
    <col min="4420" max="4420" width="9.140625" style="2" customWidth="1"/>
    <col min="4421" max="4421" width="10.140625" style="2" customWidth="1"/>
    <col min="4422" max="4422" width="9" style="2" customWidth="1"/>
    <col min="4423" max="4423" width="9.28515625" style="2" customWidth="1"/>
    <col min="4424" max="4424" width="11" style="2" customWidth="1"/>
    <col min="4425" max="4425" width="10.140625" style="2" customWidth="1"/>
    <col min="4426" max="4426" width="10.7109375" style="2" customWidth="1"/>
    <col min="4427" max="4427" width="9.85546875" style="2" customWidth="1"/>
    <col min="4428" max="4428" width="11" style="2" customWidth="1"/>
    <col min="4429" max="4429" width="10" style="2" customWidth="1"/>
    <col min="4430" max="4430" width="9.140625" style="2" customWidth="1"/>
    <col min="4431" max="4431" width="10.28515625" style="2" customWidth="1"/>
    <col min="4432" max="4432" width="10.5703125" style="2" customWidth="1"/>
    <col min="4433" max="4433" width="9.85546875" style="2" customWidth="1"/>
    <col min="4434" max="4434" width="10.7109375" style="2" customWidth="1"/>
    <col min="4435" max="4435" width="9.42578125" style="2" customWidth="1"/>
    <col min="4436" max="4436" width="10.42578125" style="2" customWidth="1"/>
    <col min="4437" max="4437" width="9.85546875" style="2" customWidth="1"/>
    <col min="4438" max="4438" width="10.7109375" style="2" customWidth="1"/>
    <col min="4439" max="4439" width="10.140625" style="2" customWidth="1"/>
    <col min="4440" max="4440" width="10.28515625" style="2" customWidth="1"/>
    <col min="4441" max="4441" width="9" style="2" customWidth="1"/>
    <col min="4442" max="4442" width="11.140625" style="2" customWidth="1"/>
    <col min="4443" max="4443" width="10.28515625" style="2" customWidth="1"/>
    <col min="4444" max="4444" width="9.42578125" style="2" customWidth="1"/>
    <col min="4445" max="4445" width="10.42578125" style="2" customWidth="1"/>
    <col min="4446" max="4446" width="9.42578125" style="2" customWidth="1"/>
    <col min="4447" max="4447" width="9" style="2" customWidth="1"/>
    <col min="4448" max="4448" width="10.28515625" style="2" customWidth="1"/>
    <col min="4449" max="4449" width="8.42578125" style="2" customWidth="1"/>
    <col min="4450" max="4450" width="9.7109375" style="2" customWidth="1"/>
    <col min="4451" max="4451" width="8.7109375" style="2" customWidth="1"/>
    <col min="4452" max="4452" width="9.42578125" style="2" customWidth="1"/>
    <col min="4453" max="4453" width="10.85546875" style="2" customWidth="1"/>
    <col min="4454" max="4454" width="9.7109375" style="2" customWidth="1"/>
    <col min="4455" max="4455" width="11.42578125" style="2" customWidth="1"/>
    <col min="4456" max="4456" width="11" style="2" customWidth="1"/>
    <col min="4457" max="4457" width="9.42578125" style="2" customWidth="1"/>
    <col min="4458" max="4458" width="10.28515625" style="2" customWidth="1"/>
    <col min="4459" max="4459" width="10.42578125" style="2" customWidth="1"/>
    <col min="4460" max="4460" width="10.28515625" style="2" customWidth="1"/>
    <col min="4461" max="4462" width="9.140625" style="2" bestFit="1" customWidth="1"/>
    <col min="4463" max="4463" width="10" style="2" customWidth="1"/>
    <col min="4464" max="4464" width="9.140625" style="2" customWidth="1"/>
    <col min="4465" max="4465" width="9.85546875" style="2" customWidth="1"/>
    <col min="4466" max="4466" width="9.5703125" style="2" customWidth="1"/>
    <col min="4467" max="4467" width="10.85546875" style="2" customWidth="1"/>
    <col min="4468" max="4468" width="10.5703125" style="2" customWidth="1"/>
    <col min="4469" max="4469" width="10.28515625" style="2" customWidth="1"/>
    <col min="4470" max="4470" width="9.5703125" style="2" customWidth="1"/>
    <col min="4471" max="4471" width="9.28515625" style="2" customWidth="1"/>
    <col min="4472" max="4472" width="10.28515625" style="2" customWidth="1"/>
    <col min="4473" max="4473" width="10" style="2" customWidth="1"/>
    <col min="4474" max="4474" width="9" style="2" customWidth="1"/>
    <col min="4475" max="4475" width="10.42578125" style="2" customWidth="1"/>
    <col min="4476" max="4477" width="9.85546875" style="2" customWidth="1"/>
    <col min="4478" max="4478" width="10" style="2" customWidth="1"/>
    <col min="4479" max="4479" width="8.28515625" style="2" customWidth="1"/>
    <col min="4480" max="4480" width="9.85546875" style="2" customWidth="1"/>
    <col min="4481" max="4481" width="11.5703125" style="2" customWidth="1"/>
    <col min="4482" max="4482" width="9.140625" style="2" bestFit="1" customWidth="1"/>
    <col min="4483" max="4483" width="10" style="2" customWidth="1"/>
    <col min="4484" max="4484" width="8" style="2" customWidth="1"/>
    <col min="4485" max="4485" width="11.28515625" style="2" customWidth="1"/>
    <col min="4486" max="4488" width="10.140625" style="2" bestFit="1" customWidth="1"/>
    <col min="4489" max="4489" width="12.28515625" style="2" customWidth="1"/>
    <col min="4490" max="4491" width="5.7109375" style="2"/>
    <col min="4492" max="4492" width="10.28515625" style="2" bestFit="1" customWidth="1"/>
    <col min="4493" max="4498" width="5.7109375" style="2"/>
    <col min="4499" max="4499" width="22" style="2" customWidth="1"/>
    <col min="4500" max="4500" width="16" style="2" customWidth="1"/>
    <col min="4501" max="4501" width="7.140625" style="2" bestFit="1" customWidth="1"/>
    <col min="4502" max="4502" width="9.28515625" style="2" bestFit="1" customWidth="1"/>
    <col min="4503" max="4563" width="5.7109375" style="2"/>
    <col min="4564" max="4564" width="29.42578125" style="2" customWidth="1"/>
    <col min="4565" max="4565" width="4.7109375" style="2" customWidth="1"/>
    <col min="4566" max="4567" width="9.7109375" style="2" customWidth="1"/>
    <col min="4568" max="4568" width="9.42578125" style="2" customWidth="1"/>
    <col min="4569" max="4569" width="9.140625" style="2" customWidth="1"/>
    <col min="4570" max="4570" width="8.85546875" style="2" customWidth="1"/>
    <col min="4571" max="4571" width="9.7109375" style="2" customWidth="1"/>
    <col min="4572" max="4572" width="8.140625" style="2" customWidth="1"/>
    <col min="4573" max="4573" width="10.42578125" style="2" customWidth="1"/>
    <col min="4574" max="4574" width="9.140625" style="2" customWidth="1"/>
    <col min="4575" max="4575" width="9.85546875" style="2" customWidth="1"/>
    <col min="4576" max="4576" width="9.42578125" style="2" customWidth="1"/>
    <col min="4577" max="4577" width="9.5703125" style="2" customWidth="1"/>
    <col min="4578" max="4578" width="9.28515625" style="2" customWidth="1"/>
    <col min="4579" max="4579" width="9.140625" style="2" customWidth="1"/>
    <col min="4580" max="4580" width="9.28515625" style="2" bestFit="1" customWidth="1"/>
    <col min="4581" max="4581" width="10.5703125" style="2" customWidth="1"/>
    <col min="4582" max="4582" width="7.7109375" style="2" customWidth="1"/>
    <col min="4583" max="4583" width="9.140625" style="2" customWidth="1"/>
    <col min="4584" max="4584" width="7.85546875" style="2" customWidth="1"/>
    <col min="4585" max="4585" width="8.7109375" style="2" customWidth="1"/>
    <col min="4586" max="4586" width="9.42578125" style="2" customWidth="1"/>
    <col min="4587" max="4587" width="10.28515625" style="2" customWidth="1"/>
    <col min="4588" max="4588" width="9.85546875" style="2" customWidth="1"/>
    <col min="4589" max="4589" width="10.140625" style="2" customWidth="1"/>
    <col min="4590" max="4591" width="8.140625" style="2" customWidth="1"/>
    <col min="4592" max="4593" width="7.85546875" style="2" customWidth="1"/>
    <col min="4594" max="4594" width="9.140625" style="2" customWidth="1"/>
    <col min="4595" max="4595" width="9.7109375" style="2" customWidth="1"/>
    <col min="4596" max="4596" width="8.28515625" style="2" customWidth="1"/>
    <col min="4597" max="4597" width="9.140625" style="2" customWidth="1"/>
    <col min="4598" max="4598" width="10" style="2" customWidth="1"/>
    <col min="4599" max="4599" width="10.28515625" style="2" customWidth="1"/>
    <col min="4600" max="4600" width="9.85546875" style="2" customWidth="1"/>
    <col min="4601" max="4601" width="9.42578125" style="2" customWidth="1"/>
    <col min="4602" max="4602" width="9.7109375" style="2" customWidth="1"/>
    <col min="4603" max="4603" width="9.42578125" style="2" customWidth="1"/>
    <col min="4604" max="4604" width="9.28515625" style="2" customWidth="1"/>
    <col min="4605" max="4605" width="10.5703125" style="2" customWidth="1"/>
    <col min="4606" max="4607" width="8.85546875" style="2" customWidth="1"/>
    <col min="4608" max="4608" width="8.28515625" style="2" customWidth="1"/>
    <col min="4609" max="4609" width="8.85546875" style="2" customWidth="1"/>
    <col min="4610" max="4610" width="9.5703125" style="2" customWidth="1"/>
    <col min="4611" max="4611" width="8.42578125" style="2" customWidth="1"/>
    <col min="4612" max="4612" width="9.5703125" style="2" customWidth="1"/>
    <col min="4613" max="4613" width="8.28515625" style="2" customWidth="1"/>
    <col min="4614" max="4614" width="9.28515625" style="2" customWidth="1"/>
    <col min="4615" max="4615" width="9.85546875" style="2" customWidth="1"/>
    <col min="4616" max="4616" width="10.28515625" style="2" customWidth="1"/>
    <col min="4617" max="4617" width="10.42578125" style="2" customWidth="1"/>
    <col min="4618" max="4618" width="9.5703125" style="2" customWidth="1"/>
    <col min="4619" max="4619" width="10.140625" style="2" customWidth="1"/>
    <col min="4620" max="4620" width="9.5703125" style="2" customWidth="1"/>
    <col min="4621" max="4621" width="10.28515625" style="2" customWidth="1"/>
    <col min="4622" max="4622" width="10" style="2" customWidth="1"/>
    <col min="4623" max="4623" width="9.140625" style="2" customWidth="1"/>
    <col min="4624" max="4624" width="10.5703125" style="2" customWidth="1"/>
    <col min="4625" max="4625" width="9.28515625" style="2" customWidth="1"/>
    <col min="4626" max="4627" width="9.42578125" style="2" customWidth="1"/>
    <col min="4628" max="4628" width="9" style="2" customWidth="1"/>
    <col min="4629" max="4629" width="11" style="2" customWidth="1"/>
    <col min="4630" max="4630" width="9.28515625" style="2" customWidth="1"/>
    <col min="4631" max="4631" width="9.7109375" style="2" customWidth="1"/>
    <col min="4632" max="4632" width="10.85546875" style="2" customWidth="1"/>
    <col min="4633" max="4633" width="10.5703125" style="2" customWidth="1"/>
    <col min="4634" max="4634" width="10.28515625" style="2" customWidth="1"/>
    <col min="4635" max="4635" width="9.85546875" style="2" customWidth="1"/>
    <col min="4636" max="4636" width="10.28515625" style="2" customWidth="1"/>
    <col min="4637" max="4637" width="9" style="2" customWidth="1"/>
    <col min="4638" max="4638" width="9.85546875" style="2" customWidth="1"/>
    <col min="4639" max="4639" width="9.42578125" style="2" customWidth="1"/>
    <col min="4640" max="4640" width="9.140625" style="2" customWidth="1"/>
    <col min="4641" max="4641" width="11" style="2" customWidth="1"/>
    <col min="4642" max="4642" width="9.28515625" style="2" customWidth="1"/>
    <col min="4643" max="4643" width="9.5703125" style="2" customWidth="1"/>
    <col min="4644" max="4644" width="10.42578125" style="2" customWidth="1"/>
    <col min="4645" max="4645" width="9" style="2" customWidth="1"/>
    <col min="4646" max="4646" width="9.7109375" style="2" customWidth="1"/>
    <col min="4647" max="4647" width="10" style="2" customWidth="1"/>
    <col min="4648" max="4648" width="10.7109375" style="2" customWidth="1"/>
    <col min="4649" max="4649" width="9.42578125" style="2" customWidth="1"/>
    <col min="4650" max="4650" width="10.28515625" style="2" customWidth="1"/>
    <col min="4651" max="4651" width="9.5703125" style="2" customWidth="1"/>
    <col min="4652" max="4652" width="10" style="2" customWidth="1"/>
    <col min="4653" max="4653" width="9" style="2" customWidth="1"/>
    <col min="4654" max="4654" width="10.5703125" style="2" customWidth="1"/>
    <col min="4655" max="4655" width="11.28515625" style="2" customWidth="1"/>
    <col min="4656" max="4656" width="10.5703125" style="2" customWidth="1"/>
    <col min="4657" max="4657" width="9.7109375" style="2" customWidth="1"/>
    <col min="4658" max="4658" width="9.5703125" style="2" customWidth="1"/>
    <col min="4659" max="4659" width="10.5703125" style="2" customWidth="1"/>
    <col min="4660" max="4660" width="10.42578125" style="2" customWidth="1"/>
    <col min="4661" max="4661" width="9.85546875" style="2" customWidth="1"/>
    <col min="4662" max="4662" width="10.5703125" style="2" bestFit="1" customWidth="1"/>
    <col min="4663" max="4665" width="10.140625" style="2" bestFit="1" customWidth="1"/>
    <col min="4666" max="4666" width="8.85546875" style="2" customWidth="1"/>
    <col min="4667" max="4667" width="9.140625" style="2" bestFit="1" customWidth="1"/>
    <col min="4668" max="4669" width="10.140625" style="2" customWidth="1"/>
    <col min="4670" max="4670" width="10" style="2" customWidth="1"/>
    <col min="4671" max="4671" width="8.28515625" style="2" customWidth="1"/>
    <col min="4672" max="4672" width="9" style="2" customWidth="1"/>
    <col min="4673" max="4673" width="10.5703125" style="2" customWidth="1"/>
    <col min="4674" max="4674" width="10.140625" style="2" customWidth="1"/>
    <col min="4675" max="4675" width="9.7109375" style="2" customWidth="1"/>
    <col min="4676" max="4676" width="9.140625" style="2" customWidth="1"/>
    <col min="4677" max="4677" width="10.140625" style="2" customWidth="1"/>
    <col min="4678" max="4678" width="9" style="2" customWidth="1"/>
    <col min="4679" max="4679" width="9.28515625" style="2" customWidth="1"/>
    <col min="4680" max="4680" width="11" style="2" customWidth="1"/>
    <col min="4681" max="4681" width="10.140625" style="2" customWidth="1"/>
    <col min="4682" max="4682" width="10.7109375" style="2" customWidth="1"/>
    <col min="4683" max="4683" width="9.85546875" style="2" customWidth="1"/>
    <col min="4684" max="4684" width="11" style="2" customWidth="1"/>
    <col min="4685" max="4685" width="10" style="2" customWidth="1"/>
    <col min="4686" max="4686" width="9.140625" style="2" customWidth="1"/>
    <col min="4687" max="4687" width="10.28515625" style="2" customWidth="1"/>
    <col min="4688" max="4688" width="10.5703125" style="2" customWidth="1"/>
    <col min="4689" max="4689" width="9.85546875" style="2" customWidth="1"/>
    <col min="4690" max="4690" width="10.7109375" style="2" customWidth="1"/>
    <col min="4691" max="4691" width="9.42578125" style="2" customWidth="1"/>
    <col min="4692" max="4692" width="10.42578125" style="2" customWidth="1"/>
    <col min="4693" max="4693" width="9.85546875" style="2" customWidth="1"/>
    <col min="4694" max="4694" width="10.7109375" style="2" customWidth="1"/>
    <col min="4695" max="4695" width="10.140625" style="2" customWidth="1"/>
    <col min="4696" max="4696" width="10.28515625" style="2" customWidth="1"/>
    <col min="4697" max="4697" width="9" style="2" customWidth="1"/>
    <col min="4698" max="4698" width="11.140625" style="2" customWidth="1"/>
    <col min="4699" max="4699" width="10.28515625" style="2" customWidth="1"/>
    <col min="4700" max="4700" width="9.42578125" style="2" customWidth="1"/>
    <col min="4701" max="4701" width="10.42578125" style="2" customWidth="1"/>
    <col min="4702" max="4702" width="9.42578125" style="2" customWidth="1"/>
    <col min="4703" max="4703" width="9" style="2" customWidth="1"/>
    <col min="4704" max="4704" width="10.28515625" style="2" customWidth="1"/>
    <col min="4705" max="4705" width="8.42578125" style="2" customWidth="1"/>
    <col min="4706" max="4706" width="9.7109375" style="2" customWidth="1"/>
    <col min="4707" max="4707" width="8.7109375" style="2" customWidth="1"/>
    <col min="4708" max="4708" width="9.42578125" style="2" customWidth="1"/>
    <col min="4709" max="4709" width="10.85546875" style="2" customWidth="1"/>
    <col min="4710" max="4710" width="9.7109375" style="2" customWidth="1"/>
    <col min="4711" max="4711" width="11.42578125" style="2" customWidth="1"/>
    <col min="4712" max="4712" width="11" style="2" customWidth="1"/>
    <col min="4713" max="4713" width="9.42578125" style="2" customWidth="1"/>
    <col min="4714" max="4714" width="10.28515625" style="2" customWidth="1"/>
    <col min="4715" max="4715" width="10.42578125" style="2" customWidth="1"/>
    <col min="4716" max="4716" width="10.28515625" style="2" customWidth="1"/>
    <col min="4717" max="4718" width="9.140625" style="2" bestFit="1" customWidth="1"/>
    <col min="4719" max="4719" width="10" style="2" customWidth="1"/>
    <col min="4720" max="4720" width="9.140625" style="2" customWidth="1"/>
    <col min="4721" max="4721" width="9.85546875" style="2" customWidth="1"/>
    <col min="4722" max="4722" width="9.5703125" style="2" customWidth="1"/>
    <col min="4723" max="4723" width="10.85546875" style="2" customWidth="1"/>
    <col min="4724" max="4724" width="10.5703125" style="2" customWidth="1"/>
    <col min="4725" max="4725" width="10.28515625" style="2" customWidth="1"/>
    <col min="4726" max="4726" width="9.5703125" style="2" customWidth="1"/>
    <col min="4727" max="4727" width="9.28515625" style="2" customWidth="1"/>
    <col min="4728" max="4728" width="10.28515625" style="2" customWidth="1"/>
    <col min="4729" max="4729" width="10" style="2" customWidth="1"/>
    <col min="4730" max="4730" width="9" style="2" customWidth="1"/>
    <col min="4731" max="4731" width="10.42578125" style="2" customWidth="1"/>
    <col min="4732" max="4733" width="9.85546875" style="2" customWidth="1"/>
    <col min="4734" max="4734" width="10" style="2" customWidth="1"/>
    <col min="4735" max="4735" width="8.28515625" style="2" customWidth="1"/>
    <col min="4736" max="4736" width="9.85546875" style="2" customWidth="1"/>
    <col min="4737" max="4737" width="11.5703125" style="2" customWidth="1"/>
    <col min="4738" max="4738" width="9.140625" style="2" bestFit="1" customWidth="1"/>
    <col min="4739" max="4739" width="10" style="2" customWidth="1"/>
    <col min="4740" max="4740" width="8" style="2" customWidth="1"/>
    <col min="4741" max="4741" width="11.28515625" style="2" customWidth="1"/>
    <col min="4742" max="4744" width="10.140625" style="2" bestFit="1" customWidth="1"/>
    <col min="4745" max="4745" width="12.28515625" style="2" customWidth="1"/>
    <col min="4746" max="4747" width="5.7109375" style="2"/>
    <col min="4748" max="4748" width="10.28515625" style="2" bestFit="1" customWidth="1"/>
    <col min="4749" max="4754" width="5.7109375" style="2"/>
    <col min="4755" max="4755" width="22" style="2" customWidth="1"/>
    <col min="4756" max="4756" width="16" style="2" customWidth="1"/>
    <col min="4757" max="4757" width="7.140625" style="2" bestFit="1" customWidth="1"/>
    <col min="4758" max="4758" width="9.28515625" style="2" bestFit="1" customWidth="1"/>
    <col min="4759" max="4819" width="5.7109375" style="2"/>
    <col min="4820" max="4820" width="29.42578125" style="2" customWidth="1"/>
    <col min="4821" max="4821" width="4.7109375" style="2" customWidth="1"/>
    <col min="4822" max="4823" width="9.7109375" style="2" customWidth="1"/>
    <col min="4824" max="4824" width="9.42578125" style="2" customWidth="1"/>
    <col min="4825" max="4825" width="9.140625" style="2" customWidth="1"/>
    <col min="4826" max="4826" width="8.85546875" style="2" customWidth="1"/>
    <col min="4827" max="4827" width="9.7109375" style="2" customWidth="1"/>
    <col min="4828" max="4828" width="8.140625" style="2" customWidth="1"/>
    <col min="4829" max="4829" width="10.42578125" style="2" customWidth="1"/>
    <col min="4830" max="4830" width="9.140625" style="2" customWidth="1"/>
    <col min="4831" max="4831" width="9.85546875" style="2" customWidth="1"/>
    <col min="4832" max="4832" width="9.42578125" style="2" customWidth="1"/>
    <col min="4833" max="4833" width="9.5703125" style="2" customWidth="1"/>
    <col min="4834" max="4834" width="9.28515625" style="2" customWidth="1"/>
    <col min="4835" max="4835" width="9.140625" style="2" customWidth="1"/>
    <col min="4836" max="4836" width="9.28515625" style="2" bestFit="1" customWidth="1"/>
    <col min="4837" max="4837" width="10.5703125" style="2" customWidth="1"/>
    <col min="4838" max="4838" width="7.7109375" style="2" customWidth="1"/>
    <col min="4839" max="4839" width="9.140625" style="2" customWidth="1"/>
    <col min="4840" max="4840" width="7.85546875" style="2" customWidth="1"/>
    <col min="4841" max="4841" width="8.7109375" style="2" customWidth="1"/>
    <col min="4842" max="4842" width="9.42578125" style="2" customWidth="1"/>
    <col min="4843" max="4843" width="10.28515625" style="2" customWidth="1"/>
    <col min="4844" max="4844" width="9.85546875" style="2" customWidth="1"/>
    <col min="4845" max="4845" width="10.140625" style="2" customWidth="1"/>
    <col min="4846" max="4847" width="8.140625" style="2" customWidth="1"/>
    <col min="4848" max="4849" width="7.85546875" style="2" customWidth="1"/>
    <col min="4850" max="4850" width="9.140625" style="2" customWidth="1"/>
    <col min="4851" max="4851" width="9.7109375" style="2" customWidth="1"/>
    <col min="4852" max="4852" width="8.28515625" style="2" customWidth="1"/>
    <col min="4853" max="4853" width="9.140625" style="2" customWidth="1"/>
    <col min="4854" max="4854" width="10" style="2" customWidth="1"/>
    <col min="4855" max="4855" width="10.28515625" style="2" customWidth="1"/>
    <col min="4856" max="4856" width="9.85546875" style="2" customWidth="1"/>
    <col min="4857" max="4857" width="9.42578125" style="2" customWidth="1"/>
    <col min="4858" max="4858" width="9.7109375" style="2" customWidth="1"/>
    <col min="4859" max="4859" width="9.42578125" style="2" customWidth="1"/>
    <col min="4860" max="4860" width="9.28515625" style="2" customWidth="1"/>
    <col min="4861" max="4861" width="10.5703125" style="2" customWidth="1"/>
    <col min="4862" max="4863" width="8.85546875" style="2" customWidth="1"/>
    <col min="4864" max="4864" width="8.28515625" style="2" customWidth="1"/>
    <col min="4865" max="4865" width="8.85546875" style="2" customWidth="1"/>
    <col min="4866" max="4866" width="9.5703125" style="2" customWidth="1"/>
    <col min="4867" max="4867" width="8.42578125" style="2" customWidth="1"/>
    <col min="4868" max="4868" width="9.5703125" style="2" customWidth="1"/>
    <col min="4869" max="4869" width="8.28515625" style="2" customWidth="1"/>
    <col min="4870" max="4870" width="9.28515625" style="2" customWidth="1"/>
    <col min="4871" max="4871" width="9.85546875" style="2" customWidth="1"/>
    <col min="4872" max="4872" width="10.28515625" style="2" customWidth="1"/>
    <col min="4873" max="4873" width="10.42578125" style="2" customWidth="1"/>
    <col min="4874" max="4874" width="9.5703125" style="2" customWidth="1"/>
    <col min="4875" max="4875" width="10.140625" style="2" customWidth="1"/>
    <col min="4876" max="4876" width="9.5703125" style="2" customWidth="1"/>
    <col min="4877" max="4877" width="10.28515625" style="2" customWidth="1"/>
    <col min="4878" max="4878" width="10" style="2" customWidth="1"/>
    <col min="4879" max="4879" width="9.140625" style="2" customWidth="1"/>
    <col min="4880" max="4880" width="10.5703125" style="2" customWidth="1"/>
    <col min="4881" max="4881" width="9.28515625" style="2" customWidth="1"/>
    <col min="4882" max="4883" width="9.42578125" style="2" customWidth="1"/>
    <col min="4884" max="4884" width="9" style="2" customWidth="1"/>
    <col min="4885" max="4885" width="11" style="2" customWidth="1"/>
    <col min="4886" max="4886" width="9.28515625" style="2" customWidth="1"/>
    <col min="4887" max="4887" width="9.7109375" style="2" customWidth="1"/>
    <col min="4888" max="4888" width="10.85546875" style="2" customWidth="1"/>
    <col min="4889" max="4889" width="10.5703125" style="2" customWidth="1"/>
    <col min="4890" max="4890" width="10.28515625" style="2" customWidth="1"/>
    <col min="4891" max="4891" width="9.85546875" style="2" customWidth="1"/>
    <col min="4892" max="4892" width="10.28515625" style="2" customWidth="1"/>
    <col min="4893" max="4893" width="9" style="2" customWidth="1"/>
    <col min="4894" max="4894" width="9.85546875" style="2" customWidth="1"/>
    <col min="4895" max="4895" width="9.42578125" style="2" customWidth="1"/>
    <col min="4896" max="4896" width="9.140625" style="2" customWidth="1"/>
    <col min="4897" max="4897" width="11" style="2" customWidth="1"/>
    <col min="4898" max="4898" width="9.28515625" style="2" customWidth="1"/>
    <col min="4899" max="4899" width="9.5703125" style="2" customWidth="1"/>
    <col min="4900" max="4900" width="10.42578125" style="2" customWidth="1"/>
    <col min="4901" max="4901" width="9" style="2" customWidth="1"/>
    <col min="4902" max="4902" width="9.7109375" style="2" customWidth="1"/>
    <col min="4903" max="4903" width="10" style="2" customWidth="1"/>
    <col min="4904" max="4904" width="10.7109375" style="2" customWidth="1"/>
    <col min="4905" max="4905" width="9.42578125" style="2" customWidth="1"/>
    <col min="4906" max="4906" width="10.28515625" style="2" customWidth="1"/>
    <col min="4907" max="4907" width="9.5703125" style="2" customWidth="1"/>
    <col min="4908" max="4908" width="10" style="2" customWidth="1"/>
    <col min="4909" max="4909" width="9" style="2" customWidth="1"/>
    <col min="4910" max="4910" width="10.5703125" style="2" customWidth="1"/>
    <col min="4911" max="4911" width="11.28515625" style="2" customWidth="1"/>
    <col min="4912" max="4912" width="10.5703125" style="2" customWidth="1"/>
    <col min="4913" max="4913" width="9.7109375" style="2" customWidth="1"/>
    <col min="4914" max="4914" width="9.5703125" style="2" customWidth="1"/>
    <col min="4915" max="4915" width="10.5703125" style="2" customWidth="1"/>
    <col min="4916" max="4916" width="10.42578125" style="2" customWidth="1"/>
    <col min="4917" max="4917" width="9.85546875" style="2" customWidth="1"/>
    <col min="4918" max="4918" width="10.5703125" style="2" bestFit="1" customWidth="1"/>
    <col min="4919" max="4921" width="10.140625" style="2" bestFit="1" customWidth="1"/>
    <col min="4922" max="4922" width="8.85546875" style="2" customWidth="1"/>
    <col min="4923" max="4923" width="9.140625" style="2" bestFit="1" customWidth="1"/>
    <col min="4924" max="4925" width="10.140625" style="2" customWidth="1"/>
    <col min="4926" max="4926" width="10" style="2" customWidth="1"/>
    <col min="4927" max="4927" width="8.28515625" style="2" customWidth="1"/>
    <col min="4928" max="4928" width="9" style="2" customWidth="1"/>
    <col min="4929" max="4929" width="10.5703125" style="2" customWidth="1"/>
    <col min="4930" max="4930" width="10.140625" style="2" customWidth="1"/>
    <col min="4931" max="4931" width="9.7109375" style="2" customWidth="1"/>
    <col min="4932" max="4932" width="9.140625" style="2" customWidth="1"/>
    <col min="4933" max="4933" width="10.140625" style="2" customWidth="1"/>
    <col min="4934" max="4934" width="9" style="2" customWidth="1"/>
    <col min="4935" max="4935" width="9.28515625" style="2" customWidth="1"/>
    <col min="4936" max="4936" width="11" style="2" customWidth="1"/>
    <col min="4937" max="4937" width="10.140625" style="2" customWidth="1"/>
    <col min="4938" max="4938" width="10.7109375" style="2" customWidth="1"/>
    <col min="4939" max="4939" width="9.85546875" style="2" customWidth="1"/>
    <col min="4940" max="4940" width="11" style="2" customWidth="1"/>
    <col min="4941" max="4941" width="10" style="2" customWidth="1"/>
    <col min="4942" max="4942" width="9.140625" style="2" customWidth="1"/>
    <col min="4943" max="4943" width="10.28515625" style="2" customWidth="1"/>
    <col min="4944" max="4944" width="10.5703125" style="2" customWidth="1"/>
    <col min="4945" max="4945" width="9.85546875" style="2" customWidth="1"/>
    <col min="4946" max="4946" width="10.7109375" style="2" customWidth="1"/>
    <col min="4947" max="4947" width="9.42578125" style="2" customWidth="1"/>
    <col min="4948" max="4948" width="10.42578125" style="2" customWidth="1"/>
    <col min="4949" max="4949" width="9.85546875" style="2" customWidth="1"/>
    <col min="4950" max="4950" width="10.7109375" style="2" customWidth="1"/>
    <col min="4951" max="4951" width="10.140625" style="2" customWidth="1"/>
    <col min="4952" max="4952" width="10.28515625" style="2" customWidth="1"/>
    <col min="4953" max="4953" width="9" style="2" customWidth="1"/>
    <col min="4954" max="4954" width="11.140625" style="2" customWidth="1"/>
    <col min="4955" max="4955" width="10.28515625" style="2" customWidth="1"/>
    <col min="4956" max="4956" width="9.42578125" style="2" customWidth="1"/>
    <col min="4957" max="4957" width="10.42578125" style="2" customWidth="1"/>
    <col min="4958" max="4958" width="9.42578125" style="2" customWidth="1"/>
    <col min="4959" max="4959" width="9" style="2" customWidth="1"/>
    <col min="4960" max="4960" width="10.28515625" style="2" customWidth="1"/>
    <col min="4961" max="4961" width="8.42578125" style="2" customWidth="1"/>
    <col min="4962" max="4962" width="9.7109375" style="2" customWidth="1"/>
    <col min="4963" max="4963" width="8.7109375" style="2" customWidth="1"/>
    <col min="4964" max="4964" width="9.42578125" style="2" customWidth="1"/>
    <col min="4965" max="4965" width="10.85546875" style="2" customWidth="1"/>
    <col min="4966" max="4966" width="9.7109375" style="2" customWidth="1"/>
    <col min="4967" max="4967" width="11.42578125" style="2" customWidth="1"/>
    <col min="4968" max="4968" width="11" style="2" customWidth="1"/>
    <col min="4969" max="4969" width="9.42578125" style="2" customWidth="1"/>
    <col min="4970" max="4970" width="10.28515625" style="2" customWidth="1"/>
    <col min="4971" max="4971" width="10.42578125" style="2" customWidth="1"/>
    <col min="4972" max="4972" width="10.28515625" style="2" customWidth="1"/>
    <col min="4973" max="4974" width="9.140625" style="2" bestFit="1" customWidth="1"/>
    <col min="4975" max="4975" width="10" style="2" customWidth="1"/>
    <col min="4976" max="4976" width="9.140625" style="2" customWidth="1"/>
    <col min="4977" max="4977" width="9.85546875" style="2" customWidth="1"/>
    <col min="4978" max="4978" width="9.5703125" style="2" customWidth="1"/>
    <col min="4979" max="4979" width="10.85546875" style="2" customWidth="1"/>
    <col min="4980" max="4980" width="10.5703125" style="2" customWidth="1"/>
    <col min="4981" max="4981" width="10.28515625" style="2" customWidth="1"/>
    <col min="4982" max="4982" width="9.5703125" style="2" customWidth="1"/>
    <col min="4983" max="4983" width="9.28515625" style="2" customWidth="1"/>
    <col min="4984" max="4984" width="10.28515625" style="2" customWidth="1"/>
    <col min="4985" max="4985" width="10" style="2" customWidth="1"/>
    <col min="4986" max="4986" width="9" style="2" customWidth="1"/>
    <col min="4987" max="4987" width="10.42578125" style="2" customWidth="1"/>
    <col min="4988" max="4989" width="9.85546875" style="2" customWidth="1"/>
    <col min="4990" max="4990" width="10" style="2" customWidth="1"/>
    <col min="4991" max="4991" width="8.28515625" style="2" customWidth="1"/>
    <col min="4992" max="4992" width="9.85546875" style="2" customWidth="1"/>
    <col min="4993" max="4993" width="11.5703125" style="2" customWidth="1"/>
    <col min="4994" max="4994" width="9.140625" style="2" bestFit="1" customWidth="1"/>
    <col min="4995" max="4995" width="10" style="2" customWidth="1"/>
    <col min="4996" max="4996" width="8" style="2" customWidth="1"/>
    <col min="4997" max="4997" width="11.28515625" style="2" customWidth="1"/>
    <col min="4998" max="5000" width="10.140625" style="2" bestFit="1" customWidth="1"/>
    <col min="5001" max="5001" width="12.28515625" style="2" customWidth="1"/>
    <col min="5002" max="5003" width="5.7109375" style="2"/>
    <col min="5004" max="5004" width="10.28515625" style="2" bestFit="1" customWidth="1"/>
    <col min="5005" max="5010" width="5.7109375" style="2"/>
    <col min="5011" max="5011" width="22" style="2" customWidth="1"/>
    <col min="5012" max="5012" width="16" style="2" customWidth="1"/>
    <col min="5013" max="5013" width="7.140625" style="2" bestFit="1" customWidth="1"/>
    <col min="5014" max="5014" width="9.28515625" style="2" bestFit="1" customWidth="1"/>
    <col min="5015" max="5075" width="5.7109375" style="2"/>
    <col min="5076" max="5076" width="29.42578125" style="2" customWidth="1"/>
    <col min="5077" max="5077" width="4.7109375" style="2" customWidth="1"/>
    <col min="5078" max="5079" width="9.7109375" style="2" customWidth="1"/>
    <col min="5080" max="5080" width="9.42578125" style="2" customWidth="1"/>
    <col min="5081" max="5081" width="9.140625" style="2" customWidth="1"/>
    <col min="5082" max="5082" width="8.85546875" style="2" customWidth="1"/>
    <col min="5083" max="5083" width="9.7109375" style="2" customWidth="1"/>
    <col min="5084" max="5084" width="8.140625" style="2" customWidth="1"/>
    <col min="5085" max="5085" width="10.42578125" style="2" customWidth="1"/>
    <col min="5086" max="5086" width="9.140625" style="2" customWidth="1"/>
    <col min="5087" max="5087" width="9.85546875" style="2" customWidth="1"/>
    <col min="5088" max="5088" width="9.42578125" style="2" customWidth="1"/>
    <col min="5089" max="5089" width="9.5703125" style="2" customWidth="1"/>
    <col min="5090" max="5090" width="9.28515625" style="2" customWidth="1"/>
    <col min="5091" max="5091" width="9.140625" style="2" customWidth="1"/>
    <col min="5092" max="5092" width="9.28515625" style="2" bestFit="1" customWidth="1"/>
    <col min="5093" max="5093" width="10.5703125" style="2" customWidth="1"/>
    <col min="5094" max="5094" width="7.7109375" style="2" customWidth="1"/>
    <col min="5095" max="5095" width="9.140625" style="2" customWidth="1"/>
    <col min="5096" max="5096" width="7.85546875" style="2" customWidth="1"/>
    <col min="5097" max="5097" width="8.7109375" style="2" customWidth="1"/>
    <col min="5098" max="5098" width="9.42578125" style="2" customWidth="1"/>
    <col min="5099" max="5099" width="10.28515625" style="2" customWidth="1"/>
    <col min="5100" max="5100" width="9.85546875" style="2" customWidth="1"/>
    <col min="5101" max="5101" width="10.140625" style="2" customWidth="1"/>
    <col min="5102" max="5103" width="8.140625" style="2" customWidth="1"/>
    <col min="5104" max="5105" width="7.85546875" style="2" customWidth="1"/>
    <col min="5106" max="5106" width="9.140625" style="2" customWidth="1"/>
    <col min="5107" max="5107" width="9.7109375" style="2" customWidth="1"/>
    <col min="5108" max="5108" width="8.28515625" style="2" customWidth="1"/>
    <col min="5109" max="5109" width="9.140625" style="2" customWidth="1"/>
    <col min="5110" max="5110" width="10" style="2" customWidth="1"/>
    <col min="5111" max="5111" width="10.28515625" style="2" customWidth="1"/>
    <col min="5112" max="5112" width="9.85546875" style="2" customWidth="1"/>
    <col min="5113" max="5113" width="9.42578125" style="2" customWidth="1"/>
    <col min="5114" max="5114" width="9.7109375" style="2" customWidth="1"/>
    <col min="5115" max="5115" width="9.42578125" style="2" customWidth="1"/>
    <col min="5116" max="5116" width="9.28515625" style="2" customWidth="1"/>
    <col min="5117" max="5117" width="10.5703125" style="2" customWidth="1"/>
    <col min="5118" max="5119" width="8.85546875" style="2" customWidth="1"/>
    <col min="5120" max="5120" width="8.28515625" style="2" customWidth="1"/>
    <col min="5121" max="5121" width="8.85546875" style="2" customWidth="1"/>
    <col min="5122" max="5122" width="9.5703125" style="2" customWidth="1"/>
    <col min="5123" max="5123" width="8.42578125" style="2" customWidth="1"/>
    <col min="5124" max="5124" width="9.5703125" style="2" customWidth="1"/>
    <col min="5125" max="5125" width="8.28515625" style="2" customWidth="1"/>
    <col min="5126" max="5126" width="9.28515625" style="2" customWidth="1"/>
    <col min="5127" max="5127" width="9.85546875" style="2" customWidth="1"/>
    <col min="5128" max="5128" width="10.28515625" style="2" customWidth="1"/>
    <col min="5129" max="5129" width="10.42578125" style="2" customWidth="1"/>
    <col min="5130" max="5130" width="9.5703125" style="2" customWidth="1"/>
    <col min="5131" max="5131" width="10.140625" style="2" customWidth="1"/>
    <col min="5132" max="5132" width="9.5703125" style="2" customWidth="1"/>
    <col min="5133" max="5133" width="10.28515625" style="2" customWidth="1"/>
    <col min="5134" max="5134" width="10" style="2" customWidth="1"/>
    <col min="5135" max="5135" width="9.140625" style="2" customWidth="1"/>
    <col min="5136" max="5136" width="10.5703125" style="2" customWidth="1"/>
    <col min="5137" max="5137" width="9.28515625" style="2" customWidth="1"/>
    <col min="5138" max="5139" width="9.42578125" style="2" customWidth="1"/>
    <col min="5140" max="5140" width="9" style="2" customWidth="1"/>
    <col min="5141" max="5141" width="11" style="2" customWidth="1"/>
    <col min="5142" max="5142" width="9.28515625" style="2" customWidth="1"/>
    <col min="5143" max="5143" width="9.7109375" style="2" customWidth="1"/>
    <col min="5144" max="5144" width="10.85546875" style="2" customWidth="1"/>
    <col min="5145" max="5145" width="10.5703125" style="2" customWidth="1"/>
    <col min="5146" max="5146" width="10.28515625" style="2" customWidth="1"/>
    <col min="5147" max="5147" width="9.85546875" style="2" customWidth="1"/>
    <col min="5148" max="5148" width="10.28515625" style="2" customWidth="1"/>
    <col min="5149" max="5149" width="9" style="2" customWidth="1"/>
    <col min="5150" max="5150" width="9.85546875" style="2" customWidth="1"/>
    <col min="5151" max="5151" width="9.42578125" style="2" customWidth="1"/>
    <col min="5152" max="5152" width="9.140625" style="2" customWidth="1"/>
    <col min="5153" max="5153" width="11" style="2" customWidth="1"/>
    <col min="5154" max="5154" width="9.28515625" style="2" customWidth="1"/>
    <col min="5155" max="5155" width="9.5703125" style="2" customWidth="1"/>
    <col min="5156" max="5156" width="10.42578125" style="2" customWidth="1"/>
    <col min="5157" max="5157" width="9" style="2" customWidth="1"/>
    <col min="5158" max="5158" width="9.7109375" style="2" customWidth="1"/>
    <col min="5159" max="5159" width="10" style="2" customWidth="1"/>
    <col min="5160" max="5160" width="10.7109375" style="2" customWidth="1"/>
    <col min="5161" max="5161" width="9.42578125" style="2" customWidth="1"/>
    <col min="5162" max="5162" width="10.28515625" style="2" customWidth="1"/>
    <col min="5163" max="5163" width="9.5703125" style="2" customWidth="1"/>
    <col min="5164" max="5164" width="10" style="2" customWidth="1"/>
    <col min="5165" max="5165" width="9" style="2" customWidth="1"/>
    <col min="5166" max="5166" width="10.5703125" style="2" customWidth="1"/>
    <col min="5167" max="5167" width="11.28515625" style="2" customWidth="1"/>
    <col min="5168" max="5168" width="10.5703125" style="2" customWidth="1"/>
    <col min="5169" max="5169" width="9.7109375" style="2" customWidth="1"/>
    <col min="5170" max="5170" width="9.5703125" style="2" customWidth="1"/>
    <col min="5171" max="5171" width="10.5703125" style="2" customWidth="1"/>
    <col min="5172" max="5172" width="10.42578125" style="2" customWidth="1"/>
    <col min="5173" max="5173" width="9.85546875" style="2" customWidth="1"/>
    <col min="5174" max="5174" width="10.5703125" style="2" bestFit="1" customWidth="1"/>
    <col min="5175" max="5177" width="10.140625" style="2" bestFit="1" customWidth="1"/>
    <col min="5178" max="5178" width="8.85546875" style="2" customWidth="1"/>
    <col min="5179" max="5179" width="9.140625" style="2" bestFit="1" customWidth="1"/>
    <col min="5180" max="5181" width="10.140625" style="2" customWidth="1"/>
    <col min="5182" max="5182" width="10" style="2" customWidth="1"/>
    <col min="5183" max="5183" width="8.28515625" style="2" customWidth="1"/>
    <col min="5184" max="5184" width="9" style="2" customWidth="1"/>
    <col min="5185" max="5185" width="10.5703125" style="2" customWidth="1"/>
    <col min="5186" max="5186" width="10.140625" style="2" customWidth="1"/>
    <col min="5187" max="5187" width="9.7109375" style="2" customWidth="1"/>
    <col min="5188" max="5188" width="9.140625" style="2" customWidth="1"/>
    <col min="5189" max="5189" width="10.140625" style="2" customWidth="1"/>
    <col min="5190" max="5190" width="9" style="2" customWidth="1"/>
    <col min="5191" max="5191" width="9.28515625" style="2" customWidth="1"/>
    <col min="5192" max="5192" width="11" style="2" customWidth="1"/>
    <col min="5193" max="5193" width="10.140625" style="2" customWidth="1"/>
    <col min="5194" max="5194" width="10.7109375" style="2" customWidth="1"/>
    <col min="5195" max="5195" width="9.85546875" style="2" customWidth="1"/>
    <col min="5196" max="5196" width="11" style="2" customWidth="1"/>
    <col min="5197" max="5197" width="10" style="2" customWidth="1"/>
    <col min="5198" max="5198" width="9.140625" style="2" customWidth="1"/>
    <col min="5199" max="5199" width="10.28515625" style="2" customWidth="1"/>
    <col min="5200" max="5200" width="10.5703125" style="2" customWidth="1"/>
    <col min="5201" max="5201" width="9.85546875" style="2" customWidth="1"/>
    <col min="5202" max="5202" width="10.7109375" style="2" customWidth="1"/>
    <col min="5203" max="5203" width="9.42578125" style="2" customWidth="1"/>
    <col min="5204" max="5204" width="10.42578125" style="2" customWidth="1"/>
    <col min="5205" max="5205" width="9.85546875" style="2" customWidth="1"/>
    <col min="5206" max="5206" width="10.7109375" style="2" customWidth="1"/>
    <col min="5207" max="5207" width="10.140625" style="2" customWidth="1"/>
    <col min="5208" max="5208" width="10.28515625" style="2" customWidth="1"/>
    <col min="5209" max="5209" width="9" style="2" customWidth="1"/>
    <col min="5210" max="5210" width="11.140625" style="2" customWidth="1"/>
    <col min="5211" max="5211" width="10.28515625" style="2" customWidth="1"/>
    <col min="5212" max="5212" width="9.42578125" style="2" customWidth="1"/>
    <col min="5213" max="5213" width="10.42578125" style="2" customWidth="1"/>
    <col min="5214" max="5214" width="9.42578125" style="2" customWidth="1"/>
    <col min="5215" max="5215" width="9" style="2" customWidth="1"/>
    <col min="5216" max="5216" width="10.28515625" style="2" customWidth="1"/>
    <col min="5217" max="5217" width="8.42578125" style="2" customWidth="1"/>
    <col min="5218" max="5218" width="9.7109375" style="2" customWidth="1"/>
    <col min="5219" max="5219" width="8.7109375" style="2" customWidth="1"/>
    <col min="5220" max="5220" width="9.42578125" style="2" customWidth="1"/>
    <col min="5221" max="5221" width="10.85546875" style="2" customWidth="1"/>
    <col min="5222" max="5222" width="9.7109375" style="2" customWidth="1"/>
    <col min="5223" max="5223" width="11.42578125" style="2" customWidth="1"/>
    <col min="5224" max="5224" width="11" style="2" customWidth="1"/>
    <col min="5225" max="5225" width="9.42578125" style="2" customWidth="1"/>
    <col min="5226" max="5226" width="10.28515625" style="2" customWidth="1"/>
    <col min="5227" max="5227" width="10.42578125" style="2" customWidth="1"/>
    <col min="5228" max="5228" width="10.28515625" style="2" customWidth="1"/>
    <col min="5229" max="5230" width="9.140625" style="2" bestFit="1" customWidth="1"/>
    <col min="5231" max="5231" width="10" style="2" customWidth="1"/>
    <col min="5232" max="5232" width="9.140625" style="2" customWidth="1"/>
    <col min="5233" max="5233" width="9.85546875" style="2" customWidth="1"/>
    <col min="5234" max="5234" width="9.5703125" style="2" customWidth="1"/>
    <col min="5235" max="5235" width="10.85546875" style="2" customWidth="1"/>
    <col min="5236" max="5236" width="10.5703125" style="2" customWidth="1"/>
    <col min="5237" max="5237" width="10.28515625" style="2" customWidth="1"/>
    <col min="5238" max="5238" width="9.5703125" style="2" customWidth="1"/>
    <col min="5239" max="5239" width="9.28515625" style="2" customWidth="1"/>
    <col min="5240" max="5240" width="10.28515625" style="2" customWidth="1"/>
    <col min="5241" max="5241" width="10" style="2" customWidth="1"/>
    <col min="5242" max="5242" width="9" style="2" customWidth="1"/>
    <col min="5243" max="5243" width="10.42578125" style="2" customWidth="1"/>
    <col min="5244" max="5245" width="9.85546875" style="2" customWidth="1"/>
    <col min="5246" max="5246" width="10" style="2" customWidth="1"/>
    <col min="5247" max="5247" width="8.28515625" style="2" customWidth="1"/>
    <col min="5248" max="5248" width="9.85546875" style="2" customWidth="1"/>
    <col min="5249" max="5249" width="11.5703125" style="2" customWidth="1"/>
    <col min="5250" max="5250" width="9.140625" style="2" bestFit="1" customWidth="1"/>
    <col min="5251" max="5251" width="10" style="2" customWidth="1"/>
    <col min="5252" max="5252" width="8" style="2" customWidth="1"/>
    <col min="5253" max="5253" width="11.28515625" style="2" customWidth="1"/>
    <col min="5254" max="5256" width="10.140625" style="2" bestFit="1" customWidth="1"/>
    <col min="5257" max="5257" width="12.28515625" style="2" customWidth="1"/>
    <col min="5258" max="5259" width="5.7109375" style="2"/>
    <col min="5260" max="5260" width="10.28515625" style="2" bestFit="1" customWidth="1"/>
    <col min="5261" max="5266" width="5.7109375" style="2"/>
    <col min="5267" max="5267" width="22" style="2" customWidth="1"/>
    <col min="5268" max="5268" width="16" style="2" customWidth="1"/>
    <col min="5269" max="5269" width="7.140625" style="2" bestFit="1" customWidth="1"/>
    <col min="5270" max="5270" width="9.28515625" style="2" bestFit="1" customWidth="1"/>
    <col min="5271" max="5331" width="5.7109375" style="2"/>
    <col min="5332" max="5332" width="29.42578125" style="2" customWidth="1"/>
    <col min="5333" max="5333" width="4.7109375" style="2" customWidth="1"/>
    <col min="5334" max="5335" width="9.7109375" style="2" customWidth="1"/>
    <col min="5336" max="5336" width="9.42578125" style="2" customWidth="1"/>
    <col min="5337" max="5337" width="9.140625" style="2" customWidth="1"/>
    <col min="5338" max="5338" width="8.85546875" style="2" customWidth="1"/>
    <col min="5339" max="5339" width="9.7109375" style="2" customWidth="1"/>
    <col min="5340" max="5340" width="8.140625" style="2" customWidth="1"/>
    <col min="5341" max="5341" width="10.42578125" style="2" customWidth="1"/>
    <col min="5342" max="5342" width="9.140625" style="2" customWidth="1"/>
    <col min="5343" max="5343" width="9.85546875" style="2" customWidth="1"/>
    <col min="5344" max="5344" width="9.42578125" style="2" customWidth="1"/>
    <col min="5345" max="5345" width="9.5703125" style="2" customWidth="1"/>
    <col min="5346" max="5346" width="9.28515625" style="2" customWidth="1"/>
    <col min="5347" max="5347" width="9.140625" style="2" customWidth="1"/>
    <col min="5348" max="5348" width="9.28515625" style="2" bestFit="1" customWidth="1"/>
    <col min="5349" max="5349" width="10.5703125" style="2" customWidth="1"/>
    <col min="5350" max="5350" width="7.7109375" style="2" customWidth="1"/>
    <col min="5351" max="5351" width="9.140625" style="2" customWidth="1"/>
    <col min="5352" max="5352" width="7.85546875" style="2" customWidth="1"/>
    <col min="5353" max="5353" width="8.7109375" style="2" customWidth="1"/>
    <col min="5354" max="5354" width="9.42578125" style="2" customWidth="1"/>
    <col min="5355" max="5355" width="10.28515625" style="2" customWidth="1"/>
    <col min="5356" max="5356" width="9.85546875" style="2" customWidth="1"/>
    <col min="5357" max="5357" width="10.140625" style="2" customWidth="1"/>
    <col min="5358" max="5359" width="8.140625" style="2" customWidth="1"/>
    <col min="5360" max="5361" width="7.85546875" style="2" customWidth="1"/>
    <col min="5362" max="5362" width="9.140625" style="2" customWidth="1"/>
    <col min="5363" max="5363" width="9.7109375" style="2" customWidth="1"/>
    <col min="5364" max="5364" width="8.28515625" style="2" customWidth="1"/>
    <col min="5365" max="5365" width="9.140625" style="2" customWidth="1"/>
    <col min="5366" max="5366" width="10" style="2" customWidth="1"/>
    <col min="5367" max="5367" width="10.28515625" style="2" customWidth="1"/>
    <col min="5368" max="5368" width="9.85546875" style="2" customWidth="1"/>
    <col min="5369" max="5369" width="9.42578125" style="2" customWidth="1"/>
    <col min="5370" max="5370" width="9.7109375" style="2" customWidth="1"/>
    <col min="5371" max="5371" width="9.42578125" style="2" customWidth="1"/>
    <col min="5372" max="5372" width="9.28515625" style="2" customWidth="1"/>
    <col min="5373" max="5373" width="10.5703125" style="2" customWidth="1"/>
    <col min="5374" max="5375" width="8.85546875" style="2" customWidth="1"/>
    <col min="5376" max="5376" width="8.28515625" style="2" customWidth="1"/>
    <col min="5377" max="5377" width="8.85546875" style="2" customWidth="1"/>
    <col min="5378" max="5378" width="9.5703125" style="2" customWidth="1"/>
    <col min="5379" max="5379" width="8.42578125" style="2" customWidth="1"/>
    <col min="5380" max="5380" width="9.5703125" style="2" customWidth="1"/>
    <col min="5381" max="5381" width="8.28515625" style="2" customWidth="1"/>
    <col min="5382" max="5382" width="9.28515625" style="2" customWidth="1"/>
    <col min="5383" max="5383" width="9.85546875" style="2" customWidth="1"/>
    <col min="5384" max="5384" width="10.28515625" style="2" customWidth="1"/>
    <col min="5385" max="5385" width="10.42578125" style="2" customWidth="1"/>
    <col min="5386" max="5386" width="9.5703125" style="2" customWidth="1"/>
    <col min="5387" max="5387" width="10.140625" style="2" customWidth="1"/>
    <col min="5388" max="5388" width="9.5703125" style="2" customWidth="1"/>
    <col min="5389" max="5389" width="10.28515625" style="2" customWidth="1"/>
    <col min="5390" max="5390" width="10" style="2" customWidth="1"/>
    <col min="5391" max="5391" width="9.140625" style="2" customWidth="1"/>
    <col min="5392" max="5392" width="10.5703125" style="2" customWidth="1"/>
    <col min="5393" max="5393" width="9.28515625" style="2" customWidth="1"/>
    <col min="5394" max="5395" width="9.42578125" style="2" customWidth="1"/>
    <col min="5396" max="5396" width="9" style="2" customWidth="1"/>
    <col min="5397" max="5397" width="11" style="2" customWidth="1"/>
    <col min="5398" max="5398" width="9.28515625" style="2" customWidth="1"/>
    <col min="5399" max="5399" width="9.7109375" style="2" customWidth="1"/>
    <col min="5400" max="5400" width="10.85546875" style="2" customWidth="1"/>
    <col min="5401" max="5401" width="10.5703125" style="2" customWidth="1"/>
    <col min="5402" max="5402" width="10.28515625" style="2" customWidth="1"/>
    <col min="5403" max="5403" width="9.85546875" style="2" customWidth="1"/>
    <col min="5404" max="5404" width="10.28515625" style="2" customWidth="1"/>
    <col min="5405" max="5405" width="9" style="2" customWidth="1"/>
    <col min="5406" max="5406" width="9.85546875" style="2" customWidth="1"/>
    <col min="5407" max="5407" width="9.42578125" style="2" customWidth="1"/>
    <col min="5408" max="5408" width="9.140625" style="2" customWidth="1"/>
    <col min="5409" max="5409" width="11" style="2" customWidth="1"/>
    <col min="5410" max="5410" width="9.28515625" style="2" customWidth="1"/>
    <col min="5411" max="5411" width="9.5703125" style="2" customWidth="1"/>
    <col min="5412" max="5412" width="10.42578125" style="2" customWidth="1"/>
    <col min="5413" max="5413" width="9" style="2" customWidth="1"/>
    <col min="5414" max="5414" width="9.7109375" style="2" customWidth="1"/>
    <col min="5415" max="5415" width="10" style="2" customWidth="1"/>
    <col min="5416" max="5416" width="10.7109375" style="2" customWidth="1"/>
    <col min="5417" max="5417" width="9.42578125" style="2" customWidth="1"/>
    <col min="5418" max="5418" width="10.28515625" style="2" customWidth="1"/>
    <col min="5419" max="5419" width="9.5703125" style="2" customWidth="1"/>
    <col min="5420" max="5420" width="10" style="2" customWidth="1"/>
    <col min="5421" max="5421" width="9" style="2" customWidth="1"/>
    <col min="5422" max="5422" width="10.5703125" style="2" customWidth="1"/>
    <col min="5423" max="5423" width="11.28515625" style="2" customWidth="1"/>
    <col min="5424" max="5424" width="10.5703125" style="2" customWidth="1"/>
    <col min="5425" max="5425" width="9.7109375" style="2" customWidth="1"/>
    <col min="5426" max="5426" width="9.5703125" style="2" customWidth="1"/>
    <col min="5427" max="5427" width="10.5703125" style="2" customWidth="1"/>
    <col min="5428" max="5428" width="10.42578125" style="2" customWidth="1"/>
    <col min="5429" max="5429" width="9.85546875" style="2" customWidth="1"/>
    <col min="5430" max="5430" width="10.5703125" style="2" bestFit="1" customWidth="1"/>
    <col min="5431" max="5433" width="10.140625" style="2" bestFit="1" customWidth="1"/>
    <col min="5434" max="5434" width="8.85546875" style="2" customWidth="1"/>
    <col min="5435" max="5435" width="9.140625" style="2" bestFit="1" customWidth="1"/>
    <col min="5436" max="5437" width="10.140625" style="2" customWidth="1"/>
    <col min="5438" max="5438" width="10" style="2" customWidth="1"/>
    <col min="5439" max="5439" width="8.28515625" style="2" customWidth="1"/>
    <col min="5440" max="5440" width="9" style="2" customWidth="1"/>
    <col min="5441" max="5441" width="10.5703125" style="2" customWidth="1"/>
    <col min="5442" max="5442" width="10.140625" style="2" customWidth="1"/>
    <col min="5443" max="5443" width="9.7109375" style="2" customWidth="1"/>
    <col min="5444" max="5444" width="9.140625" style="2" customWidth="1"/>
    <col min="5445" max="5445" width="10.140625" style="2" customWidth="1"/>
    <col min="5446" max="5446" width="9" style="2" customWidth="1"/>
    <col min="5447" max="5447" width="9.28515625" style="2" customWidth="1"/>
    <col min="5448" max="5448" width="11" style="2" customWidth="1"/>
    <col min="5449" max="5449" width="10.140625" style="2" customWidth="1"/>
    <col min="5450" max="5450" width="10.7109375" style="2" customWidth="1"/>
    <col min="5451" max="5451" width="9.85546875" style="2" customWidth="1"/>
    <col min="5452" max="5452" width="11" style="2" customWidth="1"/>
    <col min="5453" max="5453" width="10" style="2" customWidth="1"/>
    <col min="5454" max="5454" width="9.140625" style="2" customWidth="1"/>
    <col min="5455" max="5455" width="10.28515625" style="2" customWidth="1"/>
    <col min="5456" max="5456" width="10.5703125" style="2" customWidth="1"/>
    <col min="5457" max="5457" width="9.85546875" style="2" customWidth="1"/>
    <col min="5458" max="5458" width="10.7109375" style="2" customWidth="1"/>
    <col min="5459" max="5459" width="9.42578125" style="2" customWidth="1"/>
    <col min="5460" max="5460" width="10.42578125" style="2" customWidth="1"/>
    <col min="5461" max="5461" width="9.85546875" style="2" customWidth="1"/>
    <col min="5462" max="5462" width="10.7109375" style="2" customWidth="1"/>
    <col min="5463" max="5463" width="10.140625" style="2" customWidth="1"/>
    <col min="5464" max="5464" width="10.28515625" style="2" customWidth="1"/>
    <col min="5465" max="5465" width="9" style="2" customWidth="1"/>
    <col min="5466" max="5466" width="11.140625" style="2" customWidth="1"/>
    <col min="5467" max="5467" width="10.28515625" style="2" customWidth="1"/>
    <col min="5468" max="5468" width="9.42578125" style="2" customWidth="1"/>
    <col min="5469" max="5469" width="10.42578125" style="2" customWidth="1"/>
    <col min="5470" max="5470" width="9.42578125" style="2" customWidth="1"/>
    <col min="5471" max="5471" width="9" style="2" customWidth="1"/>
    <col min="5472" max="5472" width="10.28515625" style="2" customWidth="1"/>
    <col min="5473" max="5473" width="8.42578125" style="2" customWidth="1"/>
    <col min="5474" max="5474" width="9.7109375" style="2" customWidth="1"/>
    <col min="5475" max="5475" width="8.7109375" style="2" customWidth="1"/>
    <col min="5476" max="5476" width="9.42578125" style="2" customWidth="1"/>
    <col min="5477" max="5477" width="10.85546875" style="2" customWidth="1"/>
    <col min="5478" max="5478" width="9.7109375" style="2" customWidth="1"/>
    <col min="5479" max="5479" width="11.42578125" style="2" customWidth="1"/>
    <col min="5480" max="5480" width="11" style="2" customWidth="1"/>
    <col min="5481" max="5481" width="9.42578125" style="2" customWidth="1"/>
    <col min="5482" max="5482" width="10.28515625" style="2" customWidth="1"/>
    <col min="5483" max="5483" width="10.42578125" style="2" customWidth="1"/>
    <col min="5484" max="5484" width="10.28515625" style="2" customWidth="1"/>
    <col min="5485" max="5486" width="9.140625" style="2" bestFit="1" customWidth="1"/>
    <col min="5487" max="5487" width="10" style="2" customWidth="1"/>
    <col min="5488" max="5488" width="9.140625" style="2" customWidth="1"/>
    <col min="5489" max="5489" width="9.85546875" style="2" customWidth="1"/>
    <col min="5490" max="5490" width="9.5703125" style="2" customWidth="1"/>
    <col min="5491" max="5491" width="10.85546875" style="2" customWidth="1"/>
    <col min="5492" max="5492" width="10.5703125" style="2" customWidth="1"/>
    <col min="5493" max="5493" width="10.28515625" style="2" customWidth="1"/>
    <col min="5494" max="5494" width="9.5703125" style="2" customWidth="1"/>
    <col min="5495" max="5495" width="9.28515625" style="2" customWidth="1"/>
    <col min="5496" max="5496" width="10.28515625" style="2" customWidth="1"/>
    <col min="5497" max="5497" width="10" style="2" customWidth="1"/>
    <col min="5498" max="5498" width="9" style="2" customWidth="1"/>
    <col min="5499" max="5499" width="10.42578125" style="2" customWidth="1"/>
    <col min="5500" max="5501" width="9.85546875" style="2" customWidth="1"/>
    <col min="5502" max="5502" width="10" style="2" customWidth="1"/>
    <col min="5503" max="5503" width="8.28515625" style="2" customWidth="1"/>
    <col min="5504" max="5504" width="9.85546875" style="2" customWidth="1"/>
    <col min="5505" max="5505" width="11.5703125" style="2" customWidth="1"/>
    <col min="5506" max="5506" width="9.140625" style="2" bestFit="1" customWidth="1"/>
    <col min="5507" max="5507" width="10" style="2" customWidth="1"/>
    <col min="5508" max="5508" width="8" style="2" customWidth="1"/>
    <col min="5509" max="5509" width="11.28515625" style="2" customWidth="1"/>
    <col min="5510" max="5512" width="10.140625" style="2" bestFit="1" customWidth="1"/>
    <col min="5513" max="5513" width="12.28515625" style="2" customWidth="1"/>
    <col min="5514" max="5515" width="5.7109375" style="2"/>
    <col min="5516" max="5516" width="10.28515625" style="2" bestFit="1" customWidth="1"/>
    <col min="5517" max="5522" width="5.7109375" style="2"/>
    <col min="5523" max="5523" width="22" style="2" customWidth="1"/>
    <col min="5524" max="5524" width="16" style="2" customWidth="1"/>
    <col min="5525" max="5525" width="7.140625" style="2" bestFit="1" customWidth="1"/>
    <col min="5526" max="5526" width="9.28515625" style="2" bestFit="1" customWidth="1"/>
    <col min="5527" max="5587" width="5.7109375" style="2"/>
    <col min="5588" max="5588" width="29.42578125" style="2" customWidth="1"/>
    <col min="5589" max="5589" width="4.7109375" style="2" customWidth="1"/>
    <col min="5590" max="5591" width="9.7109375" style="2" customWidth="1"/>
    <col min="5592" max="5592" width="9.42578125" style="2" customWidth="1"/>
    <col min="5593" max="5593" width="9.140625" style="2" customWidth="1"/>
    <col min="5594" max="5594" width="8.85546875" style="2" customWidth="1"/>
    <col min="5595" max="5595" width="9.7109375" style="2" customWidth="1"/>
    <col min="5596" max="5596" width="8.140625" style="2" customWidth="1"/>
    <col min="5597" max="5597" width="10.42578125" style="2" customWidth="1"/>
    <col min="5598" max="5598" width="9.140625" style="2" customWidth="1"/>
    <col min="5599" max="5599" width="9.85546875" style="2" customWidth="1"/>
    <col min="5600" max="5600" width="9.42578125" style="2" customWidth="1"/>
    <col min="5601" max="5601" width="9.5703125" style="2" customWidth="1"/>
    <col min="5602" max="5602" width="9.28515625" style="2" customWidth="1"/>
    <col min="5603" max="5603" width="9.140625" style="2" customWidth="1"/>
    <col min="5604" max="5604" width="9.28515625" style="2" bestFit="1" customWidth="1"/>
    <col min="5605" max="5605" width="10.5703125" style="2" customWidth="1"/>
    <col min="5606" max="5606" width="7.7109375" style="2" customWidth="1"/>
    <col min="5607" max="5607" width="9.140625" style="2" customWidth="1"/>
    <col min="5608" max="5608" width="7.85546875" style="2" customWidth="1"/>
    <col min="5609" max="5609" width="8.7109375" style="2" customWidth="1"/>
    <col min="5610" max="5610" width="9.42578125" style="2" customWidth="1"/>
    <col min="5611" max="5611" width="10.28515625" style="2" customWidth="1"/>
    <col min="5612" max="5612" width="9.85546875" style="2" customWidth="1"/>
    <col min="5613" max="5613" width="10.140625" style="2" customWidth="1"/>
    <col min="5614" max="5615" width="8.140625" style="2" customWidth="1"/>
    <col min="5616" max="5617" width="7.85546875" style="2" customWidth="1"/>
    <col min="5618" max="5618" width="9.140625" style="2" customWidth="1"/>
    <col min="5619" max="5619" width="9.7109375" style="2" customWidth="1"/>
    <col min="5620" max="5620" width="8.28515625" style="2" customWidth="1"/>
    <col min="5621" max="5621" width="9.140625" style="2" customWidth="1"/>
    <col min="5622" max="5622" width="10" style="2" customWidth="1"/>
    <col min="5623" max="5623" width="10.28515625" style="2" customWidth="1"/>
    <col min="5624" max="5624" width="9.85546875" style="2" customWidth="1"/>
    <col min="5625" max="5625" width="9.42578125" style="2" customWidth="1"/>
    <col min="5626" max="5626" width="9.7109375" style="2" customWidth="1"/>
    <col min="5627" max="5627" width="9.42578125" style="2" customWidth="1"/>
    <col min="5628" max="5628" width="9.28515625" style="2" customWidth="1"/>
    <col min="5629" max="5629" width="10.5703125" style="2" customWidth="1"/>
    <col min="5630" max="5631" width="8.85546875" style="2" customWidth="1"/>
    <col min="5632" max="5632" width="8.28515625" style="2" customWidth="1"/>
    <col min="5633" max="5633" width="8.85546875" style="2" customWidth="1"/>
    <col min="5634" max="5634" width="9.5703125" style="2" customWidth="1"/>
    <col min="5635" max="5635" width="8.42578125" style="2" customWidth="1"/>
    <col min="5636" max="5636" width="9.5703125" style="2" customWidth="1"/>
    <col min="5637" max="5637" width="8.28515625" style="2" customWidth="1"/>
    <col min="5638" max="5638" width="9.28515625" style="2" customWidth="1"/>
    <col min="5639" max="5639" width="9.85546875" style="2" customWidth="1"/>
    <col min="5640" max="5640" width="10.28515625" style="2" customWidth="1"/>
    <col min="5641" max="5641" width="10.42578125" style="2" customWidth="1"/>
    <col min="5642" max="5642" width="9.5703125" style="2" customWidth="1"/>
    <col min="5643" max="5643" width="10.140625" style="2" customWidth="1"/>
    <col min="5644" max="5644" width="9.5703125" style="2" customWidth="1"/>
    <col min="5645" max="5645" width="10.28515625" style="2" customWidth="1"/>
    <col min="5646" max="5646" width="10" style="2" customWidth="1"/>
    <col min="5647" max="5647" width="9.140625" style="2" customWidth="1"/>
    <col min="5648" max="5648" width="10.5703125" style="2" customWidth="1"/>
    <col min="5649" max="5649" width="9.28515625" style="2" customWidth="1"/>
    <col min="5650" max="5651" width="9.42578125" style="2" customWidth="1"/>
    <col min="5652" max="5652" width="9" style="2" customWidth="1"/>
    <col min="5653" max="5653" width="11" style="2" customWidth="1"/>
    <col min="5654" max="5654" width="9.28515625" style="2" customWidth="1"/>
    <col min="5655" max="5655" width="9.7109375" style="2" customWidth="1"/>
    <col min="5656" max="5656" width="10.85546875" style="2" customWidth="1"/>
    <col min="5657" max="5657" width="10.5703125" style="2" customWidth="1"/>
    <col min="5658" max="5658" width="10.28515625" style="2" customWidth="1"/>
    <col min="5659" max="5659" width="9.85546875" style="2" customWidth="1"/>
    <col min="5660" max="5660" width="10.28515625" style="2" customWidth="1"/>
    <col min="5661" max="5661" width="9" style="2" customWidth="1"/>
    <col min="5662" max="5662" width="9.85546875" style="2" customWidth="1"/>
    <col min="5663" max="5663" width="9.42578125" style="2" customWidth="1"/>
    <col min="5664" max="5664" width="9.140625" style="2" customWidth="1"/>
    <col min="5665" max="5665" width="11" style="2" customWidth="1"/>
    <col min="5666" max="5666" width="9.28515625" style="2" customWidth="1"/>
    <col min="5667" max="5667" width="9.5703125" style="2" customWidth="1"/>
    <col min="5668" max="5668" width="10.42578125" style="2" customWidth="1"/>
    <col min="5669" max="5669" width="9" style="2" customWidth="1"/>
    <col min="5670" max="5670" width="9.7109375" style="2" customWidth="1"/>
    <col min="5671" max="5671" width="10" style="2" customWidth="1"/>
    <col min="5672" max="5672" width="10.7109375" style="2" customWidth="1"/>
    <col min="5673" max="5673" width="9.42578125" style="2" customWidth="1"/>
    <col min="5674" max="5674" width="10.28515625" style="2" customWidth="1"/>
    <col min="5675" max="5675" width="9.5703125" style="2" customWidth="1"/>
    <col min="5676" max="5676" width="10" style="2" customWidth="1"/>
    <col min="5677" max="5677" width="9" style="2" customWidth="1"/>
    <col min="5678" max="5678" width="10.5703125" style="2" customWidth="1"/>
    <col min="5679" max="5679" width="11.28515625" style="2" customWidth="1"/>
    <col min="5680" max="5680" width="10.5703125" style="2" customWidth="1"/>
    <col min="5681" max="5681" width="9.7109375" style="2" customWidth="1"/>
    <col min="5682" max="5682" width="9.5703125" style="2" customWidth="1"/>
    <col min="5683" max="5683" width="10.5703125" style="2" customWidth="1"/>
    <col min="5684" max="5684" width="10.42578125" style="2" customWidth="1"/>
    <col min="5685" max="5685" width="9.85546875" style="2" customWidth="1"/>
    <col min="5686" max="5686" width="10.5703125" style="2" bestFit="1" customWidth="1"/>
    <col min="5687" max="5689" width="10.140625" style="2" bestFit="1" customWidth="1"/>
    <col min="5690" max="5690" width="8.85546875" style="2" customWidth="1"/>
    <col min="5691" max="5691" width="9.140625" style="2" bestFit="1" customWidth="1"/>
    <col min="5692" max="5693" width="10.140625" style="2" customWidth="1"/>
    <col min="5694" max="5694" width="10" style="2" customWidth="1"/>
    <col min="5695" max="5695" width="8.28515625" style="2" customWidth="1"/>
    <col min="5696" max="5696" width="9" style="2" customWidth="1"/>
    <col min="5697" max="5697" width="10.5703125" style="2" customWidth="1"/>
    <col min="5698" max="5698" width="10.140625" style="2" customWidth="1"/>
    <col min="5699" max="5699" width="9.7109375" style="2" customWidth="1"/>
    <col min="5700" max="5700" width="9.140625" style="2" customWidth="1"/>
    <col min="5701" max="5701" width="10.140625" style="2" customWidth="1"/>
    <col min="5702" max="5702" width="9" style="2" customWidth="1"/>
    <col min="5703" max="5703" width="9.28515625" style="2" customWidth="1"/>
    <col min="5704" max="5704" width="11" style="2" customWidth="1"/>
    <col min="5705" max="5705" width="10.140625" style="2" customWidth="1"/>
    <col min="5706" max="5706" width="10.7109375" style="2" customWidth="1"/>
    <col min="5707" max="5707" width="9.85546875" style="2" customWidth="1"/>
    <col min="5708" max="5708" width="11" style="2" customWidth="1"/>
    <col min="5709" max="5709" width="10" style="2" customWidth="1"/>
    <col min="5710" max="5710" width="9.140625" style="2" customWidth="1"/>
    <col min="5711" max="5711" width="10.28515625" style="2" customWidth="1"/>
    <col min="5712" max="5712" width="10.5703125" style="2" customWidth="1"/>
    <col min="5713" max="5713" width="9.85546875" style="2" customWidth="1"/>
    <col min="5714" max="5714" width="10.7109375" style="2" customWidth="1"/>
    <col min="5715" max="5715" width="9.42578125" style="2" customWidth="1"/>
    <col min="5716" max="5716" width="10.42578125" style="2" customWidth="1"/>
    <col min="5717" max="5717" width="9.85546875" style="2" customWidth="1"/>
    <col min="5718" max="5718" width="10.7109375" style="2" customWidth="1"/>
    <col min="5719" max="5719" width="10.140625" style="2" customWidth="1"/>
    <col min="5720" max="5720" width="10.28515625" style="2" customWidth="1"/>
    <col min="5721" max="5721" width="9" style="2" customWidth="1"/>
    <col min="5722" max="5722" width="11.140625" style="2" customWidth="1"/>
    <col min="5723" max="5723" width="10.28515625" style="2" customWidth="1"/>
    <col min="5724" max="5724" width="9.42578125" style="2" customWidth="1"/>
    <col min="5725" max="5725" width="10.42578125" style="2" customWidth="1"/>
    <col min="5726" max="5726" width="9.42578125" style="2" customWidth="1"/>
    <col min="5727" max="5727" width="9" style="2" customWidth="1"/>
    <col min="5728" max="5728" width="10.28515625" style="2" customWidth="1"/>
    <col min="5729" max="5729" width="8.42578125" style="2" customWidth="1"/>
    <col min="5730" max="5730" width="9.7109375" style="2" customWidth="1"/>
    <col min="5731" max="5731" width="8.7109375" style="2" customWidth="1"/>
    <col min="5732" max="5732" width="9.42578125" style="2" customWidth="1"/>
    <col min="5733" max="5733" width="10.85546875" style="2" customWidth="1"/>
    <col min="5734" max="5734" width="9.7109375" style="2" customWidth="1"/>
    <col min="5735" max="5735" width="11.42578125" style="2" customWidth="1"/>
    <col min="5736" max="5736" width="11" style="2" customWidth="1"/>
    <col min="5737" max="5737" width="9.42578125" style="2" customWidth="1"/>
    <col min="5738" max="5738" width="10.28515625" style="2" customWidth="1"/>
    <col min="5739" max="5739" width="10.42578125" style="2" customWidth="1"/>
    <col min="5740" max="5740" width="10.28515625" style="2" customWidth="1"/>
    <col min="5741" max="5742" width="9.140625" style="2" bestFit="1" customWidth="1"/>
    <col min="5743" max="5743" width="10" style="2" customWidth="1"/>
    <col min="5744" max="5744" width="9.140625" style="2" customWidth="1"/>
    <col min="5745" max="5745" width="9.85546875" style="2" customWidth="1"/>
    <col min="5746" max="5746" width="9.5703125" style="2" customWidth="1"/>
    <col min="5747" max="5747" width="10.85546875" style="2" customWidth="1"/>
    <col min="5748" max="5748" width="10.5703125" style="2" customWidth="1"/>
    <col min="5749" max="5749" width="10.28515625" style="2" customWidth="1"/>
    <col min="5750" max="5750" width="9.5703125" style="2" customWidth="1"/>
    <col min="5751" max="5751" width="9.28515625" style="2" customWidth="1"/>
    <col min="5752" max="5752" width="10.28515625" style="2" customWidth="1"/>
    <col min="5753" max="5753" width="10" style="2" customWidth="1"/>
    <col min="5754" max="5754" width="9" style="2" customWidth="1"/>
    <col min="5755" max="5755" width="10.42578125" style="2" customWidth="1"/>
    <col min="5756" max="5757" width="9.85546875" style="2" customWidth="1"/>
    <col min="5758" max="5758" width="10" style="2" customWidth="1"/>
    <col min="5759" max="5759" width="8.28515625" style="2" customWidth="1"/>
    <col min="5760" max="5760" width="9.85546875" style="2" customWidth="1"/>
    <col min="5761" max="5761" width="11.5703125" style="2" customWidth="1"/>
    <col min="5762" max="5762" width="9.140625" style="2" bestFit="1" customWidth="1"/>
    <col min="5763" max="5763" width="10" style="2" customWidth="1"/>
    <col min="5764" max="5764" width="8" style="2" customWidth="1"/>
    <col min="5765" max="5765" width="11.28515625" style="2" customWidth="1"/>
    <col min="5766" max="5768" width="10.140625" style="2" bestFit="1" customWidth="1"/>
    <col min="5769" max="5769" width="12.28515625" style="2" customWidth="1"/>
    <col min="5770" max="5771" width="5.7109375" style="2"/>
    <col min="5772" max="5772" width="10.28515625" style="2" bestFit="1" customWidth="1"/>
    <col min="5773" max="5778" width="5.7109375" style="2"/>
    <col min="5779" max="5779" width="22" style="2" customWidth="1"/>
    <col min="5780" max="5780" width="16" style="2" customWidth="1"/>
    <col min="5781" max="5781" width="7.140625" style="2" bestFit="1" customWidth="1"/>
    <col min="5782" max="5782" width="9.28515625" style="2" bestFit="1" customWidth="1"/>
    <col min="5783" max="5843" width="5.7109375" style="2"/>
    <col min="5844" max="5844" width="29.42578125" style="2" customWidth="1"/>
    <col min="5845" max="5845" width="4.7109375" style="2" customWidth="1"/>
    <col min="5846" max="5847" width="9.7109375" style="2" customWidth="1"/>
    <col min="5848" max="5848" width="9.42578125" style="2" customWidth="1"/>
    <col min="5849" max="5849" width="9.140625" style="2" customWidth="1"/>
    <col min="5850" max="5850" width="8.85546875" style="2" customWidth="1"/>
    <col min="5851" max="5851" width="9.7109375" style="2" customWidth="1"/>
    <col min="5852" max="5852" width="8.140625" style="2" customWidth="1"/>
    <col min="5853" max="5853" width="10.42578125" style="2" customWidth="1"/>
    <col min="5854" max="5854" width="9.140625" style="2" customWidth="1"/>
    <col min="5855" max="5855" width="9.85546875" style="2" customWidth="1"/>
    <col min="5856" max="5856" width="9.42578125" style="2" customWidth="1"/>
    <col min="5857" max="5857" width="9.5703125" style="2" customWidth="1"/>
    <col min="5858" max="5858" width="9.28515625" style="2" customWidth="1"/>
    <col min="5859" max="5859" width="9.140625" style="2" customWidth="1"/>
    <col min="5860" max="5860" width="9.28515625" style="2" bestFit="1" customWidth="1"/>
    <col min="5861" max="5861" width="10.5703125" style="2" customWidth="1"/>
    <col min="5862" max="5862" width="7.7109375" style="2" customWidth="1"/>
    <col min="5863" max="5863" width="9.140625" style="2" customWidth="1"/>
    <col min="5864" max="5864" width="7.85546875" style="2" customWidth="1"/>
    <col min="5865" max="5865" width="8.7109375" style="2" customWidth="1"/>
    <col min="5866" max="5866" width="9.42578125" style="2" customWidth="1"/>
    <col min="5867" max="5867" width="10.28515625" style="2" customWidth="1"/>
    <col min="5868" max="5868" width="9.85546875" style="2" customWidth="1"/>
    <col min="5869" max="5869" width="10.140625" style="2" customWidth="1"/>
    <col min="5870" max="5871" width="8.140625" style="2" customWidth="1"/>
    <col min="5872" max="5873" width="7.85546875" style="2" customWidth="1"/>
    <col min="5874" max="5874" width="9.140625" style="2" customWidth="1"/>
    <col min="5875" max="5875" width="9.7109375" style="2" customWidth="1"/>
    <col min="5876" max="5876" width="8.28515625" style="2" customWidth="1"/>
    <col min="5877" max="5877" width="9.140625" style="2" customWidth="1"/>
    <col min="5878" max="5878" width="10" style="2" customWidth="1"/>
    <col min="5879" max="5879" width="10.28515625" style="2" customWidth="1"/>
    <col min="5880" max="5880" width="9.85546875" style="2" customWidth="1"/>
    <col min="5881" max="5881" width="9.42578125" style="2" customWidth="1"/>
    <col min="5882" max="5882" width="9.7109375" style="2" customWidth="1"/>
    <col min="5883" max="5883" width="9.42578125" style="2" customWidth="1"/>
    <col min="5884" max="5884" width="9.28515625" style="2" customWidth="1"/>
    <col min="5885" max="5885" width="10.5703125" style="2" customWidth="1"/>
    <col min="5886" max="5887" width="8.85546875" style="2" customWidth="1"/>
    <col min="5888" max="5888" width="8.28515625" style="2" customWidth="1"/>
    <col min="5889" max="5889" width="8.85546875" style="2" customWidth="1"/>
    <col min="5890" max="5890" width="9.5703125" style="2" customWidth="1"/>
    <col min="5891" max="5891" width="8.42578125" style="2" customWidth="1"/>
    <col min="5892" max="5892" width="9.5703125" style="2" customWidth="1"/>
    <col min="5893" max="5893" width="8.28515625" style="2" customWidth="1"/>
    <col min="5894" max="5894" width="9.28515625" style="2" customWidth="1"/>
    <col min="5895" max="5895" width="9.85546875" style="2" customWidth="1"/>
    <col min="5896" max="5896" width="10.28515625" style="2" customWidth="1"/>
    <col min="5897" max="5897" width="10.42578125" style="2" customWidth="1"/>
    <col min="5898" max="5898" width="9.5703125" style="2" customWidth="1"/>
    <col min="5899" max="5899" width="10.140625" style="2" customWidth="1"/>
    <col min="5900" max="5900" width="9.5703125" style="2" customWidth="1"/>
    <col min="5901" max="5901" width="10.28515625" style="2" customWidth="1"/>
    <col min="5902" max="5902" width="10" style="2" customWidth="1"/>
    <col min="5903" max="5903" width="9.140625" style="2" customWidth="1"/>
    <col min="5904" max="5904" width="10.5703125" style="2" customWidth="1"/>
    <col min="5905" max="5905" width="9.28515625" style="2" customWidth="1"/>
    <col min="5906" max="5907" width="9.42578125" style="2" customWidth="1"/>
    <col min="5908" max="5908" width="9" style="2" customWidth="1"/>
    <col min="5909" max="5909" width="11" style="2" customWidth="1"/>
    <col min="5910" max="5910" width="9.28515625" style="2" customWidth="1"/>
    <col min="5911" max="5911" width="9.7109375" style="2" customWidth="1"/>
    <col min="5912" max="5912" width="10.85546875" style="2" customWidth="1"/>
    <col min="5913" max="5913" width="10.5703125" style="2" customWidth="1"/>
    <col min="5914" max="5914" width="10.28515625" style="2" customWidth="1"/>
    <col min="5915" max="5915" width="9.85546875" style="2" customWidth="1"/>
    <col min="5916" max="5916" width="10.28515625" style="2" customWidth="1"/>
    <col min="5917" max="5917" width="9" style="2" customWidth="1"/>
    <col min="5918" max="5918" width="9.85546875" style="2" customWidth="1"/>
    <col min="5919" max="5919" width="9.42578125" style="2" customWidth="1"/>
    <col min="5920" max="5920" width="9.140625" style="2" customWidth="1"/>
    <col min="5921" max="5921" width="11" style="2" customWidth="1"/>
    <col min="5922" max="5922" width="9.28515625" style="2" customWidth="1"/>
    <col min="5923" max="5923" width="9.5703125" style="2" customWidth="1"/>
    <col min="5924" max="5924" width="10.42578125" style="2" customWidth="1"/>
    <col min="5925" max="5925" width="9" style="2" customWidth="1"/>
    <col min="5926" max="5926" width="9.7109375" style="2" customWidth="1"/>
    <col min="5927" max="5927" width="10" style="2" customWidth="1"/>
    <col min="5928" max="5928" width="10.7109375" style="2" customWidth="1"/>
    <col min="5929" max="5929" width="9.42578125" style="2" customWidth="1"/>
    <col min="5930" max="5930" width="10.28515625" style="2" customWidth="1"/>
    <col min="5931" max="5931" width="9.5703125" style="2" customWidth="1"/>
    <col min="5932" max="5932" width="10" style="2" customWidth="1"/>
    <col min="5933" max="5933" width="9" style="2" customWidth="1"/>
    <col min="5934" max="5934" width="10.5703125" style="2" customWidth="1"/>
    <col min="5935" max="5935" width="11.28515625" style="2" customWidth="1"/>
    <col min="5936" max="5936" width="10.5703125" style="2" customWidth="1"/>
    <col min="5937" max="5937" width="9.7109375" style="2" customWidth="1"/>
    <col min="5938" max="5938" width="9.5703125" style="2" customWidth="1"/>
    <col min="5939" max="5939" width="10.5703125" style="2" customWidth="1"/>
    <col min="5940" max="5940" width="10.42578125" style="2" customWidth="1"/>
    <col min="5941" max="5941" width="9.85546875" style="2" customWidth="1"/>
    <col min="5942" max="5942" width="10.5703125" style="2" bestFit="1" customWidth="1"/>
    <col min="5943" max="5945" width="10.140625" style="2" bestFit="1" customWidth="1"/>
    <col min="5946" max="5946" width="8.85546875" style="2" customWidth="1"/>
    <col min="5947" max="5947" width="9.140625" style="2" bestFit="1" customWidth="1"/>
    <col min="5948" max="5949" width="10.140625" style="2" customWidth="1"/>
    <col min="5950" max="5950" width="10" style="2" customWidth="1"/>
    <col min="5951" max="5951" width="8.28515625" style="2" customWidth="1"/>
    <col min="5952" max="5952" width="9" style="2" customWidth="1"/>
    <col min="5953" max="5953" width="10.5703125" style="2" customWidth="1"/>
    <col min="5954" max="5954" width="10.140625" style="2" customWidth="1"/>
    <col min="5955" max="5955" width="9.7109375" style="2" customWidth="1"/>
    <col min="5956" max="5956" width="9.140625" style="2" customWidth="1"/>
    <col min="5957" max="5957" width="10.140625" style="2" customWidth="1"/>
    <col min="5958" max="5958" width="9" style="2" customWidth="1"/>
    <col min="5959" max="5959" width="9.28515625" style="2" customWidth="1"/>
    <col min="5960" max="5960" width="11" style="2" customWidth="1"/>
    <col min="5961" max="5961" width="10.140625" style="2" customWidth="1"/>
    <col min="5962" max="5962" width="10.7109375" style="2" customWidth="1"/>
    <col min="5963" max="5963" width="9.85546875" style="2" customWidth="1"/>
    <col min="5964" max="5964" width="11" style="2" customWidth="1"/>
    <col min="5965" max="5965" width="10" style="2" customWidth="1"/>
    <col min="5966" max="5966" width="9.140625" style="2" customWidth="1"/>
    <col min="5967" max="5967" width="10.28515625" style="2" customWidth="1"/>
    <col min="5968" max="5968" width="10.5703125" style="2" customWidth="1"/>
    <col min="5969" max="5969" width="9.85546875" style="2" customWidth="1"/>
    <col min="5970" max="5970" width="10.7109375" style="2" customWidth="1"/>
    <col min="5971" max="5971" width="9.42578125" style="2" customWidth="1"/>
    <col min="5972" max="5972" width="10.42578125" style="2" customWidth="1"/>
    <col min="5973" max="5973" width="9.85546875" style="2" customWidth="1"/>
    <col min="5974" max="5974" width="10.7109375" style="2" customWidth="1"/>
    <col min="5975" max="5975" width="10.140625" style="2" customWidth="1"/>
    <col min="5976" max="5976" width="10.28515625" style="2" customWidth="1"/>
    <col min="5977" max="5977" width="9" style="2" customWidth="1"/>
    <col min="5978" max="5978" width="11.140625" style="2" customWidth="1"/>
    <col min="5979" max="5979" width="10.28515625" style="2" customWidth="1"/>
    <col min="5980" max="5980" width="9.42578125" style="2" customWidth="1"/>
    <col min="5981" max="5981" width="10.42578125" style="2" customWidth="1"/>
    <col min="5982" max="5982" width="9.42578125" style="2" customWidth="1"/>
    <col min="5983" max="5983" width="9" style="2" customWidth="1"/>
    <col min="5984" max="5984" width="10.28515625" style="2" customWidth="1"/>
    <col min="5985" max="5985" width="8.42578125" style="2" customWidth="1"/>
    <col min="5986" max="5986" width="9.7109375" style="2" customWidth="1"/>
    <col min="5987" max="5987" width="8.7109375" style="2" customWidth="1"/>
    <col min="5988" max="5988" width="9.42578125" style="2" customWidth="1"/>
    <col min="5989" max="5989" width="10.85546875" style="2" customWidth="1"/>
    <col min="5990" max="5990" width="9.7109375" style="2" customWidth="1"/>
    <col min="5991" max="5991" width="11.42578125" style="2" customWidth="1"/>
    <col min="5992" max="5992" width="11" style="2" customWidth="1"/>
    <col min="5993" max="5993" width="9.42578125" style="2" customWidth="1"/>
    <col min="5994" max="5994" width="10.28515625" style="2" customWidth="1"/>
    <col min="5995" max="5995" width="10.42578125" style="2" customWidth="1"/>
    <col min="5996" max="5996" width="10.28515625" style="2" customWidth="1"/>
    <col min="5997" max="5998" width="9.140625" style="2" bestFit="1" customWidth="1"/>
    <col min="5999" max="5999" width="10" style="2" customWidth="1"/>
    <col min="6000" max="6000" width="9.140625" style="2" customWidth="1"/>
    <col min="6001" max="6001" width="9.85546875" style="2" customWidth="1"/>
    <col min="6002" max="6002" width="9.5703125" style="2" customWidth="1"/>
    <col min="6003" max="6003" width="10.85546875" style="2" customWidth="1"/>
    <col min="6004" max="6004" width="10.5703125" style="2" customWidth="1"/>
    <col min="6005" max="6005" width="10.28515625" style="2" customWidth="1"/>
    <col min="6006" max="6006" width="9.5703125" style="2" customWidth="1"/>
    <col min="6007" max="6007" width="9.28515625" style="2" customWidth="1"/>
    <col min="6008" max="6008" width="10.28515625" style="2" customWidth="1"/>
    <col min="6009" max="6009" width="10" style="2" customWidth="1"/>
    <col min="6010" max="6010" width="9" style="2" customWidth="1"/>
    <col min="6011" max="6011" width="10.42578125" style="2" customWidth="1"/>
    <col min="6012" max="6013" width="9.85546875" style="2" customWidth="1"/>
    <col min="6014" max="6014" width="10" style="2" customWidth="1"/>
    <col min="6015" max="6015" width="8.28515625" style="2" customWidth="1"/>
    <col min="6016" max="6016" width="9.85546875" style="2" customWidth="1"/>
    <col min="6017" max="6017" width="11.5703125" style="2" customWidth="1"/>
    <col min="6018" max="6018" width="9.140625" style="2" bestFit="1" customWidth="1"/>
    <col min="6019" max="6019" width="10" style="2" customWidth="1"/>
    <col min="6020" max="6020" width="8" style="2" customWidth="1"/>
    <col min="6021" max="6021" width="11.28515625" style="2" customWidth="1"/>
    <col min="6022" max="6024" width="10.140625" style="2" bestFit="1" customWidth="1"/>
    <col min="6025" max="6025" width="12.28515625" style="2" customWidth="1"/>
    <col min="6026" max="6027" width="5.7109375" style="2"/>
    <col min="6028" max="6028" width="10.28515625" style="2" bestFit="1" customWidth="1"/>
    <col min="6029" max="6034" width="5.7109375" style="2"/>
    <col min="6035" max="6035" width="22" style="2" customWidth="1"/>
    <col min="6036" max="6036" width="16" style="2" customWidth="1"/>
    <col min="6037" max="6037" width="7.140625" style="2" bestFit="1" customWidth="1"/>
    <col min="6038" max="6038" width="9.28515625" style="2" bestFit="1" customWidth="1"/>
    <col min="6039" max="6099" width="5.7109375" style="2"/>
    <col min="6100" max="6100" width="29.42578125" style="2" customWidth="1"/>
    <col min="6101" max="6101" width="4.7109375" style="2" customWidth="1"/>
    <col min="6102" max="6103" width="9.7109375" style="2" customWidth="1"/>
    <col min="6104" max="6104" width="9.42578125" style="2" customWidth="1"/>
    <col min="6105" max="6105" width="9.140625" style="2" customWidth="1"/>
    <col min="6106" max="6106" width="8.85546875" style="2" customWidth="1"/>
    <col min="6107" max="6107" width="9.7109375" style="2" customWidth="1"/>
    <col min="6108" max="6108" width="8.140625" style="2" customWidth="1"/>
    <col min="6109" max="6109" width="10.42578125" style="2" customWidth="1"/>
    <col min="6110" max="6110" width="9.140625" style="2" customWidth="1"/>
    <col min="6111" max="6111" width="9.85546875" style="2" customWidth="1"/>
    <col min="6112" max="6112" width="9.42578125" style="2" customWidth="1"/>
    <col min="6113" max="6113" width="9.5703125" style="2" customWidth="1"/>
    <col min="6114" max="6114" width="9.28515625" style="2" customWidth="1"/>
    <col min="6115" max="6115" width="9.140625" style="2" customWidth="1"/>
    <col min="6116" max="6116" width="9.28515625" style="2" bestFit="1" customWidth="1"/>
    <col min="6117" max="6117" width="10.5703125" style="2" customWidth="1"/>
    <col min="6118" max="6118" width="7.7109375" style="2" customWidth="1"/>
    <col min="6119" max="6119" width="9.140625" style="2" customWidth="1"/>
    <col min="6120" max="6120" width="7.85546875" style="2" customWidth="1"/>
    <col min="6121" max="6121" width="8.7109375" style="2" customWidth="1"/>
    <col min="6122" max="6122" width="9.42578125" style="2" customWidth="1"/>
    <col min="6123" max="6123" width="10.28515625" style="2" customWidth="1"/>
    <col min="6124" max="6124" width="9.85546875" style="2" customWidth="1"/>
    <col min="6125" max="6125" width="10.140625" style="2" customWidth="1"/>
    <col min="6126" max="6127" width="8.140625" style="2" customWidth="1"/>
    <col min="6128" max="6129" width="7.85546875" style="2" customWidth="1"/>
    <col min="6130" max="6130" width="9.140625" style="2" customWidth="1"/>
    <col min="6131" max="6131" width="9.7109375" style="2" customWidth="1"/>
    <col min="6132" max="6132" width="8.28515625" style="2" customWidth="1"/>
    <col min="6133" max="6133" width="9.140625" style="2" customWidth="1"/>
    <col min="6134" max="6134" width="10" style="2" customWidth="1"/>
    <col min="6135" max="6135" width="10.28515625" style="2" customWidth="1"/>
    <col min="6136" max="6136" width="9.85546875" style="2" customWidth="1"/>
    <col min="6137" max="6137" width="9.42578125" style="2" customWidth="1"/>
    <col min="6138" max="6138" width="9.7109375" style="2" customWidth="1"/>
    <col min="6139" max="6139" width="9.42578125" style="2" customWidth="1"/>
    <col min="6140" max="6140" width="9.28515625" style="2" customWidth="1"/>
    <col min="6141" max="6141" width="10.5703125" style="2" customWidth="1"/>
    <col min="6142" max="6143" width="8.85546875" style="2" customWidth="1"/>
    <col min="6144" max="6144" width="8.28515625" style="2" customWidth="1"/>
    <col min="6145" max="6145" width="8.85546875" style="2" customWidth="1"/>
    <col min="6146" max="6146" width="9.5703125" style="2" customWidth="1"/>
    <col min="6147" max="6147" width="8.42578125" style="2" customWidth="1"/>
    <col min="6148" max="6148" width="9.5703125" style="2" customWidth="1"/>
    <col min="6149" max="6149" width="8.28515625" style="2" customWidth="1"/>
    <col min="6150" max="6150" width="9.28515625" style="2" customWidth="1"/>
    <col min="6151" max="6151" width="9.85546875" style="2" customWidth="1"/>
    <col min="6152" max="6152" width="10.28515625" style="2" customWidth="1"/>
    <col min="6153" max="6153" width="10.42578125" style="2" customWidth="1"/>
    <col min="6154" max="6154" width="9.5703125" style="2" customWidth="1"/>
    <col min="6155" max="6155" width="10.140625" style="2" customWidth="1"/>
    <col min="6156" max="6156" width="9.5703125" style="2" customWidth="1"/>
    <col min="6157" max="6157" width="10.28515625" style="2" customWidth="1"/>
    <col min="6158" max="6158" width="10" style="2" customWidth="1"/>
    <col min="6159" max="6159" width="9.140625" style="2" customWidth="1"/>
    <col min="6160" max="6160" width="10.5703125" style="2" customWidth="1"/>
    <col min="6161" max="6161" width="9.28515625" style="2" customWidth="1"/>
    <col min="6162" max="6163" width="9.42578125" style="2" customWidth="1"/>
    <col min="6164" max="6164" width="9" style="2" customWidth="1"/>
    <col min="6165" max="6165" width="11" style="2" customWidth="1"/>
    <col min="6166" max="6166" width="9.28515625" style="2" customWidth="1"/>
    <col min="6167" max="6167" width="9.7109375" style="2" customWidth="1"/>
    <col min="6168" max="6168" width="10.85546875" style="2" customWidth="1"/>
    <col min="6169" max="6169" width="10.5703125" style="2" customWidth="1"/>
    <col min="6170" max="6170" width="10.28515625" style="2" customWidth="1"/>
    <col min="6171" max="6171" width="9.85546875" style="2" customWidth="1"/>
    <col min="6172" max="6172" width="10.28515625" style="2" customWidth="1"/>
    <col min="6173" max="6173" width="9" style="2" customWidth="1"/>
    <col min="6174" max="6174" width="9.85546875" style="2" customWidth="1"/>
    <col min="6175" max="6175" width="9.42578125" style="2" customWidth="1"/>
    <col min="6176" max="6176" width="9.140625" style="2" customWidth="1"/>
    <col min="6177" max="6177" width="11" style="2" customWidth="1"/>
    <col min="6178" max="6178" width="9.28515625" style="2" customWidth="1"/>
    <col min="6179" max="6179" width="9.5703125" style="2" customWidth="1"/>
    <col min="6180" max="6180" width="10.42578125" style="2" customWidth="1"/>
    <col min="6181" max="6181" width="9" style="2" customWidth="1"/>
    <col min="6182" max="6182" width="9.7109375" style="2" customWidth="1"/>
    <col min="6183" max="6183" width="10" style="2" customWidth="1"/>
    <col min="6184" max="6184" width="10.7109375" style="2" customWidth="1"/>
    <col min="6185" max="6185" width="9.42578125" style="2" customWidth="1"/>
    <col min="6186" max="6186" width="10.28515625" style="2" customWidth="1"/>
    <col min="6187" max="6187" width="9.5703125" style="2" customWidth="1"/>
    <col min="6188" max="6188" width="10" style="2" customWidth="1"/>
    <col min="6189" max="6189" width="9" style="2" customWidth="1"/>
    <col min="6190" max="6190" width="10.5703125" style="2" customWidth="1"/>
    <col min="6191" max="6191" width="11.28515625" style="2" customWidth="1"/>
    <col min="6192" max="6192" width="10.5703125" style="2" customWidth="1"/>
    <col min="6193" max="6193" width="9.7109375" style="2" customWidth="1"/>
    <col min="6194" max="6194" width="9.5703125" style="2" customWidth="1"/>
    <col min="6195" max="6195" width="10.5703125" style="2" customWidth="1"/>
    <col min="6196" max="6196" width="10.42578125" style="2" customWidth="1"/>
    <col min="6197" max="6197" width="9.85546875" style="2" customWidth="1"/>
    <col min="6198" max="6198" width="10.5703125" style="2" bestFit="1" customWidth="1"/>
    <col min="6199" max="6201" width="10.140625" style="2" bestFit="1" customWidth="1"/>
    <col min="6202" max="6202" width="8.85546875" style="2" customWidth="1"/>
    <col min="6203" max="6203" width="9.140625" style="2" bestFit="1" customWidth="1"/>
    <col min="6204" max="6205" width="10.140625" style="2" customWidth="1"/>
    <col min="6206" max="6206" width="10" style="2" customWidth="1"/>
    <col min="6207" max="6207" width="8.28515625" style="2" customWidth="1"/>
    <col min="6208" max="6208" width="9" style="2" customWidth="1"/>
    <col min="6209" max="6209" width="10.5703125" style="2" customWidth="1"/>
    <col min="6210" max="6210" width="10.140625" style="2" customWidth="1"/>
    <col min="6211" max="6211" width="9.7109375" style="2" customWidth="1"/>
    <col min="6212" max="6212" width="9.140625" style="2" customWidth="1"/>
    <col min="6213" max="6213" width="10.140625" style="2" customWidth="1"/>
    <col min="6214" max="6214" width="9" style="2" customWidth="1"/>
    <col min="6215" max="6215" width="9.28515625" style="2" customWidth="1"/>
    <col min="6216" max="6216" width="11" style="2" customWidth="1"/>
    <col min="6217" max="6217" width="10.140625" style="2" customWidth="1"/>
    <col min="6218" max="6218" width="10.7109375" style="2" customWidth="1"/>
    <col min="6219" max="6219" width="9.85546875" style="2" customWidth="1"/>
    <col min="6220" max="6220" width="11" style="2" customWidth="1"/>
    <col min="6221" max="6221" width="10" style="2" customWidth="1"/>
    <col min="6222" max="6222" width="9.140625" style="2" customWidth="1"/>
    <col min="6223" max="6223" width="10.28515625" style="2" customWidth="1"/>
    <col min="6224" max="6224" width="10.5703125" style="2" customWidth="1"/>
    <col min="6225" max="6225" width="9.85546875" style="2" customWidth="1"/>
    <col min="6226" max="6226" width="10.7109375" style="2" customWidth="1"/>
    <col min="6227" max="6227" width="9.42578125" style="2" customWidth="1"/>
    <col min="6228" max="6228" width="10.42578125" style="2" customWidth="1"/>
    <col min="6229" max="6229" width="9.85546875" style="2" customWidth="1"/>
    <col min="6230" max="6230" width="10.7109375" style="2" customWidth="1"/>
    <col min="6231" max="6231" width="10.140625" style="2" customWidth="1"/>
    <col min="6232" max="6232" width="10.28515625" style="2" customWidth="1"/>
    <col min="6233" max="6233" width="9" style="2" customWidth="1"/>
    <col min="6234" max="6234" width="11.140625" style="2" customWidth="1"/>
    <col min="6235" max="6235" width="10.28515625" style="2" customWidth="1"/>
    <col min="6236" max="6236" width="9.42578125" style="2" customWidth="1"/>
    <col min="6237" max="6237" width="10.42578125" style="2" customWidth="1"/>
    <col min="6238" max="6238" width="9.42578125" style="2" customWidth="1"/>
    <col min="6239" max="6239" width="9" style="2" customWidth="1"/>
    <col min="6240" max="6240" width="10.28515625" style="2" customWidth="1"/>
    <col min="6241" max="6241" width="8.42578125" style="2" customWidth="1"/>
    <col min="6242" max="6242" width="9.7109375" style="2" customWidth="1"/>
    <col min="6243" max="6243" width="8.7109375" style="2" customWidth="1"/>
    <col min="6244" max="6244" width="9.42578125" style="2" customWidth="1"/>
    <col min="6245" max="6245" width="10.85546875" style="2" customWidth="1"/>
    <col min="6246" max="6246" width="9.7109375" style="2" customWidth="1"/>
    <col min="6247" max="6247" width="11.42578125" style="2" customWidth="1"/>
    <col min="6248" max="6248" width="11" style="2" customWidth="1"/>
    <col min="6249" max="6249" width="9.42578125" style="2" customWidth="1"/>
    <col min="6250" max="6250" width="10.28515625" style="2" customWidth="1"/>
    <col min="6251" max="6251" width="10.42578125" style="2" customWidth="1"/>
    <col min="6252" max="6252" width="10.28515625" style="2" customWidth="1"/>
    <col min="6253" max="6254" width="9.140625" style="2" bestFit="1" customWidth="1"/>
    <col min="6255" max="6255" width="10" style="2" customWidth="1"/>
    <col min="6256" max="6256" width="9.140625" style="2" customWidth="1"/>
    <col min="6257" max="6257" width="9.85546875" style="2" customWidth="1"/>
    <col min="6258" max="6258" width="9.5703125" style="2" customWidth="1"/>
    <col min="6259" max="6259" width="10.85546875" style="2" customWidth="1"/>
    <col min="6260" max="6260" width="10.5703125" style="2" customWidth="1"/>
    <col min="6261" max="6261" width="10.28515625" style="2" customWidth="1"/>
    <col min="6262" max="6262" width="9.5703125" style="2" customWidth="1"/>
    <col min="6263" max="6263" width="9.28515625" style="2" customWidth="1"/>
    <col min="6264" max="6264" width="10.28515625" style="2" customWidth="1"/>
    <col min="6265" max="6265" width="10" style="2" customWidth="1"/>
    <col min="6266" max="6266" width="9" style="2" customWidth="1"/>
    <col min="6267" max="6267" width="10.42578125" style="2" customWidth="1"/>
    <col min="6268" max="6269" width="9.85546875" style="2" customWidth="1"/>
    <col min="6270" max="6270" width="10" style="2" customWidth="1"/>
    <col min="6271" max="6271" width="8.28515625" style="2" customWidth="1"/>
    <col min="6272" max="6272" width="9.85546875" style="2" customWidth="1"/>
    <col min="6273" max="6273" width="11.5703125" style="2" customWidth="1"/>
    <col min="6274" max="6274" width="9.140625" style="2" bestFit="1" customWidth="1"/>
    <col min="6275" max="6275" width="10" style="2" customWidth="1"/>
    <col min="6276" max="6276" width="8" style="2" customWidth="1"/>
    <col min="6277" max="6277" width="11.28515625" style="2" customWidth="1"/>
    <col min="6278" max="6280" width="10.140625" style="2" bestFit="1" customWidth="1"/>
    <col min="6281" max="6281" width="12.28515625" style="2" customWidth="1"/>
    <col min="6282" max="6283" width="5.7109375" style="2"/>
    <col min="6284" max="6284" width="10.28515625" style="2" bestFit="1" customWidth="1"/>
    <col min="6285" max="6290" width="5.7109375" style="2"/>
    <col min="6291" max="6291" width="22" style="2" customWidth="1"/>
    <col min="6292" max="6292" width="16" style="2" customWidth="1"/>
    <col min="6293" max="6293" width="7.140625" style="2" bestFit="1" customWidth="1"/>
    <col min="6294" max="6294" width="9.28515625" style="2" bestFit="1" customWidth="1"/>
    <col min="6295" max="6355" width="5.7109375" style="2"/>
    <col min="6356" max="6356" width="29.42578125" style="2" customWidth="1"/>
    <col min="6357" max="6357" width="4.7109375" style="2" customWidth="1"/>
    <col min="6358" max="6359" width="9.7109375" style="2" customWidth="1"/>
    <col min="6360" max="6360" width="9.42578125" style="2" customWidth="1"/>
    <col min="6361" max="6361" width="9.140625" style="2" customWidth="1"/>
    <col min="6362" max="6362" width="8.85546875" style="2" customWidth="1"/>
    <col min="6363" max="6363" width="9.7109375" style="2" customWidth="1"/>
    <col min="6364" max="6364" width="8.140625" style="2" customWidth="1"/>
    <col min="6365" max="6365" width="10.42578125" style="2" customWidth="1"/>
    <col min="6366" max="6366" width="9.140625" style="2" customWidth="1"/>
    <col min="6367" max="6367" width="9.85546875" style="2" customWidth="1"/>
    <col min="6368" max="6368" width="9.42578125" style="2" customWidth="1"/>
    <col min="6369" max="6369" width="9.5703125" style="2" customWidth="1"/>
    <col min="6370" max="6370" width="9.28515625" style="2" customWidth="1"/>
    <col min="6371" max="6371" width="9.140625" style="2" customWidth="1"/>
    <col min="6372" max="6372" width="9.28515625" style="2" bestFit="1" customWidth="1"/>
    <col min="6373" max="6373" width="10.5703125" style="2" customWidth="1"/>
    <col min="6374" max="6374" width="7.7109375" style="2" customWidth="1"/>
    <col min="6375" max="6375" width="9.140625" style="2" customWidth="1"/>
    <col min="6376" max="6376" width="7.85546875" style="2" customWidth="1"/>
    <col min="6377" max="6377" width="8.7109375" style="2" customWidth="1"/>
    <col min="6378" max="6378" width="9.42578125" style="2" customWidth="1"/>
    <col min="6379" max="6379" width="10.28515625" style="2" customWidth="1"/>
    <col min="6380" max="6380" width="9.85546875" style="2" customWidth="1"/>
    <col min="6381" max="6381" width="10.140625" style="2" customWidth="1"/>
    <col min="6382" max="6383" width="8.140625" style="2" customWidth="1"/>
    <col min="6384" max="6385" width="7.85546875" style="2" customWidth="1"/>
    <col min="6386" max="6386" width="9.140625" style="2" customWidth="1"/>
    <col min="6387" max="6387" width="9.7109375" style="2" customWidth="1"/>
    <col min="6388" max="6388" width="8.28515625" style="2" customWidth="1"/>
    <col min="6389" max="6389" width="9.140625" style="2" customWidth="1"/>
    <col min="6390" max="6390" width="10" style="2" customWidth="1"/>
    <col min="6391" max="6391" width="10.28515625" style="2" customWidth="1"/>
    <col min="6392" max="6392" width="9.85546875" style="2" customWidth="1"/>
    <col min="6393" max="6393" width="9.42578125" style="2" customWidth="1"/>
    <col min="6394" max="6394" width="9.7109375" style="2" customWidth="1"/>
    <col min="6395" max="6395" width="9.42578125" style="2" customWidth="1"/>
    <col min="6396" max="6396" width="9.28515625" style="2" customWidth="1"/>
    <col min="6397" max="6397" width="10.5703125" style="2" customWidth="1"/>
    <col min="6398" max="6399" width="8.85546875" style="2" customWidth="1"/>
    <col min="6400" max="6400" width="8.28515625" style="2" customWidth="1"/>
    <col min="6401" max="6401" width="8.85546875" style="2" customWidth="1"/>
    <col min="6402" max="6402" width="9.5703125" style="2" customWidth="1"/>
    <col min="6403" max="6403" width="8.42578125" style="2" customWidth="1"/>
    <col min="6404" max="6404" width="9.5703125" style="2" customWidth="1"/>
    <col min="6405" max="6405" width="8.28515625" style="2" customWidth="1"/>
    <col min="6406" max="6406" width="9.28515625" style="2" customWidth="1"/>
    <col min="6407" max="6407" width="9.85546875" style="2" customWidth="1"/>
    <col min="6408" max="6408" width="10.28515625" style="2" customWidth="1"/>
    <col min="6409" max="6409" width="10.42578125" style="2" customWidth="1"/>
    <col min="6410" max="6410" width="9.5703125" style="2" customWidth="1"/>
    <col min="6411" max="6411" width="10.140625" style="2" customWidth="1"/>
    <col min="6412" max="6412" width="9.5703125" style="2" customWidth="1"/>
    <col min="6413" max="6413" width="10.28515625" style="2" customWidth="1"/>
    <col min="6414" max="6414" width="10" style="2" customWidth="1"/>
    <col min="6415" max="6415" width="9.140625" style="2" customWidth="1"/>
    <col min="6416" max="6416" width="10.5703125" style="2" customWidth="1"/>
    <col min="6417" max="6417" width="9.28515625" style="2" customWidth="1"/>
    <col min="6418" max="6419" width="9.42578125" style="2" customWidth="1"/>
    <col min="6420" max="6420" width="9" style="2" customWidth="1"/>
    <col min="6421" max="6421" width="11" style="2" customWidth="1"/>
    <col min="6422" max="6422" width="9.28515625" style="2" customWidth="1"/>
    <col min="6423" max="6423" width="9.7109375" style="2" customWidth="1"/>
    <col min="6424" max="6424" width="10.85546875" style="2" customWidth="1"/>
    <col min="6425" max="6425" width="10.5703125" style="2" customWidth="1"/>
    <col min="6426" max="6426" width="10.28515625" style="2" customWidth="1"/>
    <col min="6427" max="6427" width="9.85546875" style="2" customWidth="1"/>
    <col min="6428" max="6428" width="10.28515625" style="2" customWidth="1"/>
    <col min="6429" max="6429" width="9" style="2" customWidth="1"/>
    <col min="6430" max="6430" width="9.85546875" style="2" customWidth="1"/>
    <col min="6431" max="6431" width="9.42578125" style="2" customWidth="1"/>
    <col min="6432" max="6432" width="9.140625" style="2" customWidth="1"/>
    <col min="6433" max="6433" width="11" style="2" customWidth="1"/>
    <col min="6434" max="6434" width="9.28515625" style="2" customWidth="1"/>
    <col min="6435" max="6435" width="9.5703125" style="2" customWidth="1"/>
    <col min="6436" max="6436" width="10.42578125" style="2" customWidth="1"/>
    <col min="6437" max="6437" width="9" style="2" customWidth="1"/>
    <col min="6438" max="6438" width="9.7109375" style="2" customWidth="1"/>
    <col min="6439" max="6439" width="10" style="2" customWidth="1"/>
    <col min="6440" max="6440" width="10.7109375" style="2" customWidth="1"/>
    <col min="6441" max="6441" width="9.42578125" style="2" customWidth="1"/>
    <col min="6442" max="6442" width="10.28515625" style="2" customWidth="1"/>
    <col min="6443" max="6443" width="9.5703125" style="2" customWidth="1"/>
    <col min="6444" max="6444" width="10" style="2" customWidth="1"/>
    <col min="6445" max="6445" width="9" style="2" customWidth="1"/>
    <col min="6446" max="6446" width="10.5703125" style="2" customWidth="1"/>
    <col min="6447" max="6447" width="11.28515625" style="2" customWidth="1"/>
    <col min="6448" max="6448" width="10.5703125" style="2" customWidth="1"/>
    <col min="6449" max="6449" width="9.7109375" style="2" customWidth="1"/>
    <col min="6450" max="6450" width="9.5703125" style="2" customWidth="1"/>
    <col min="6451" max="6451" width="10.5703125" style="2" customWidth="1"/>
    <col min="6452" max="6452" width="10.42578125" style="2" customWidth="1"/>
    <col min="6453" max="6453" width="9.85546875" style="2" customWidth="1"/>
    <col min="6454" max="6454" width="10.5703125" style="2" bestFit="1" customWidth="1"/>
    <col min="6455" max="6457" width="10.140625" style="2" bestFit="1" customWidth="1"/>
    <col min="6458" max="6458" width="8.85546875" style="2" customWidth="1"/>
    <col min="6459" max="6459" width="9.140625" style="2" bestFit="1" customWidth="1"/>
    <col min="6460" max="6461" width="10.140625" style="2" customWidth="1"/>
    <col min="6462" max="6462" width="10" style="2" customWidth="1"/>
    <col min="6463" max="6463" width="8.28515625" style="2" customWidth="1"/>
    <col min="6464" max="6464" width="9" style="2" customWidth="1"/>
    <col min="6465" max="6465" width="10.5703125" style="2" customWidth="1"/>
    <col min="6466" max="6466" width="10.140625" style="2" customWidth="1"/>
    <col min="6467" max="6467" width="9.7109375" style="2" customWidth="1"/>
    <col min="6468" max="6468" width="9.140625" style="2" customWidth="1"/>
    <col min="6469" max="6469" width="10.140625" style="2" customWidth="1"/>
    <col min="6470" max="6470" width="9" style="2" customWidth="1"/>
    <col min="6471" max="6471" width="9.28515625" style="2" customWidth="1"/>
    <col min="6472" max="6472" width="11" style="2" customWidth="1"/>
    <col min="6473" max="6473" width="10.140625" style="2" customWidth="1"/>
    <col min="6474" max="6474" width="10.7109375" style="2" customWidth="1"/>
    <col min="6475" max="6475" width="9.85546875" style="2" customWidth="1"/>
    <col min="6476" max="6476" width="11" style="2" customWidth="1"/>
    <col min="6477" max="6477" width="10" style="2" customWidth="1"/>
    <col min="6478" max="6478" width="9.140625" style="2" customWidth="1"/>
    <col min="6479" max="6479" width="10.28515625" style="2" customWidth="1"/>
    <col min="6480" max="6480" width="10.5703125" style="2" customWidth="1"/>
    <col min="6481" max="6481" width="9.85546875" style="2" customWidth="1"/>
    <col min="6482" max="6482" width="10.7109375" style="2" customWidth="1"/>
    <col min="6483" max="6483" width="9.42578125" style="2" customWidth="1"/>
    <col min="6484" max="6484" width="10.42578125" style="2" customWidth="1"/>
    <col min="6485" max="6485" width="9.85546875" style="2" customWidth="1"/>
    <col min="6486" max="6486" width="10.7109375" style="2" customWidth="1"/>
    <col min="6487" max="6487" width="10.140625" style="2" customWidth="1"/>
    <col min="6488" max="6488" width="10.28515625" style="2" customWidth="1"/>
    <col min="6489" max="6489" width="9" style="2" customWidth="1"/>
    <col min="6490" max="6490" width="11.140625" style="2" customWidth="1"/>
    <col min="6491" max="6491" width="10.28515625" style="2" customWidth="1"/>
    <col min="6492" max="6492" width="9.42578125" style="2" customWidth="1"/>
    <col min="6493" max="6493" width="10.42578125" style="2" customWidth="1"/>
    <col min="6494" max="6494" width="9.42578125" style="2" customWidth="1"/>
    <col min="6495" max="6495" width="9" style="2" customWidth="1"/>
    <col min="6496" max="6496" width="10.28515625" style="2" customWidth="1"/>
    <col min="6497" max="6497" width="8.42578125" style="2" customWidth="1"/>
    <col min="6498" max="6498" width="9.7109375" style="2" customWidth="1"/>
    <col min="6499" max="6499" width="8.7109375" style="2" customWidth="1"/>
    <col min="6500" max="6500" width="9.42578125" style="2" customWidth="1"/>
    <col min="6501" max="6501" width="10.85546875" style="2" customWidth="1"/>
    <col min="6502" max="6502" width="9.7109375" style="2" customWidth="1"/>
    <col min="6503" max="6503" width="11.42578125" style="2" customWidth="1"/>
    <col min="6504" max="6504" width="11" style="2" customWidth="1"/>
    <col min="6505" max="6505" width="9.42578125" style="2" customWidth="1"/>
    <col min="6506" max="6506" width="10.28515625" style="2" customWidth="1"/>
    <col min="6507" max="6507" width="10.42578125" style="2" customWidth="1"/>
    <col min="6508" max="6508" width="10.28515625" style="2" customWidth="1"/>
    <col min="6509" max="6510" width="9.140625" style="2" bestFit="1" customWidth="1"/>
    <col min="6511" max="6511" width="10" style="2" customWidth="1"/>
    <col min="6512" max="6512" width="9.140625" style="2" customWidth="1"/>
    <col min="6513" max="6513" width="9.85546875" style="2" customWidth="1"/>
    <col min="6514" max="6514" width="9.5703125" style="2" customWidth="1"/>
    <col min="6515" max="6515" width="10.85546875" style="2" customWidth="1"/>
    <col min="6516" max="6516" width="10.5703125" style="2" customWidth="1"/>
    <col min="6517" max="6517" width="10.28515625" style="2" customWidth="1"/>
    <col min="6518" max="6518" width="9.5703125" style="2" customWidth="1"/>
    <col min="6519" max="6519" width="9.28515625" style="2" customWidth="1"/>
    <col min="6520" max="6520" width="10.28515625" style="2" customWidth="1"/>
    <col min="6521" max="6521" width="10" style="2" customWidth="1"/>
    <col min="6522" max="6522" width="9" style="2" customWidth="1"/>
    <col min="6523" max="6523" width="10.42578125" style="2" customWidth="1"/>
    <col min="6524" max="6525" width="9.85546875" style="2" customWidth="1"/>
    <col min="6526" max="6526" width="10" style="2" customWidth="1"/>
    <col min="6527" max="6527" width="8.28515625" style="2" customWidth="1"/>
    <col min="6528" max="6528" width="9.85546875" style="2" customWidth="1"/>
    <col min="6529" max="6529" width="11.5703125" style="2" customWidth="1"/>
    <col min="6530" max="6530" width="9.140625" style="2" bestFit="1" customWidth="1"/>
    <col min="6531" max="6531" width="10" style="2" customWidth="1"/>
    <col min="6532" max="6532" width="8" style="2" customWidth="1"/>
    <col min="6533" max="6533" width="11.28515625" style="2" customWidth="1"/>
    <col min="6534" max="6536" width="10.140625" style="2" bestFit="1" customWidth="1"/>
    <col min="6537" max="6537" width="12.28515625" style="2" customWidth="1"/>
    <col min="6538" max="6539" width="5.7109375" style="2"/>
    <col min="6540" max="6540" width="10.28515625" style="2" bestFit="1" customWidth="1"/>
    <col min="6541" max="6546" width="5.7109375" style="2"/>
    <col min="6547" max="6547" width="22" style="2" customWidth="1"/>
    <col min="6548" max="6548" width="16" style="2" customWidth="1"/>
    <col min="6549" max="6549" width="7.140625" style="2" bestFit="1" customWidth="1"/>
    <col min="6550" max="6550" width="9.28515625" style="2" bestFit="1" customWidth="1"/>
    <col min="6551" max="6611" width="5.7109375" style="2"/>
    <col min="6612" max="6612" width="29.42578125" style="2" customWidth="1"/>
    <col min="6613" max="6613" width="4.7109375" style="2" customWidth="1"/>
    <col min="6614" max="6615" width="9.7109375" style="2" customWidth="1"/>
    <col min="6616" max="6616" width="9.42578125" style="2" customWidth="1"/>
    <col min="6617" max="6617" width="9.140625" style="2" customWidth="1"/>
    <col min="6618" max="6618" width="8.85546875" style="2" customWidth="1"/>
    <col min="6619" max="6619" width="9.7109375" style="2" customWidth="1"/>
    <col min="6620" max="6620" width="8.140625" style="2" customWidth="1"/>
    <col min="6621" max="6621" width="10.42578125" style="2" customWidth="1"/>
    <col min="6622" max="6622" width="9.140625" style="2" customWidth="1"/>
    <col min="6623" max="6623" width="9.85546875" style="2" customWidth="1"/>
    <col min="6624" max="6624" width="9.42578125" style="2" customWidth="1"/>
    <col min="6625" max="6625" width="9.5703125" style="2" customWidth="1"/>
    <col min="6626" max="6626" width="9.28515625" style="2" customWidth="1"/>
    <col min="6627" max="6627" width="9.140625" style="2" customWidth="1"/>
    <col min="6628" max="6628" width="9.28515625" style="2" bestFit="1" customWidth="1"/>
    <col min="6629" max="6629" width="10.5703125" style="2" customWidth="1"/>
    <col min="6630" max="6630" width="7.7109375" style="2" customWidth="1"/>
    <col min="6631" max="6631" width="9.140625" style="2" customWidth="1"/>
    <col min="6632" max="6632" width="7.85546875" style="2" customWidth="1"/>
    <col min="6633" max="6633" width="8.7109375" style="2" customWidth="1"/>
    <col min="6634" max="6634" width="9.42578125" style="2" customWidth="1"/>
    <col min="6635" max="6635" width="10.28515625" style="2" customWidth="1"/>
    <col min="6636" max="6636" width="9.85546875" style="2" customWidth="1"/>
    <col min="6637" max="6637" width="10.140625" style="2" customWidth="1"/>
    <col min="6638" max="6639" width="8.140625" style="2" customWidth="1"/>
    <col min="6640" max="6641" width="7.85546875" style="2" customWidth="1"/>
    <col min="6642" max="6642" width="9.140625" style="2" customWidth="1"/>
    <col min="6643" max="6643" width="9.7109375" style="2" customWidth="1"/>
    <col min="6644" max="6644" width="8.28515625" style="2" customWidth="1"/>
    <col min="6645" max="6645" width="9.140625" style="2" customWidth="1"/>
    <col min="6646" max="6646" width="10" style="2" customWidth="1"/>
    <col min="6647" max="6647" width="10.28515625" style="2" customWidth="1"/>
    <col min="6648" max="6648" width="9.85546875" style="2" customWidth="1"/>
    <col min="6649" max="6649" width="9.42578125" style="2" customWidth="1"/>
    <col min="6650" max="6650" width="9.7109375" style="2" customWidth="1"/>
    <col min="6651" max="6651" width="9.42578125" style="2" customWidth="1"/>
    <col min="6652" max="6652" width="9.28515625" style="2" customWidth="1"/>
    <col min="6653" max="6653" width="10.5703125" style="2" customWidth="1"/>
    <col min="6654" max="6655" width="8.85546875" style="2" customWidth="1"/>
    <col min="6656" max="6656" width="8.28515625" style="2" customWidth="1"/>
    <col min="6657" max="6657" width="8.85546875" style="2" customWidth="1"/>
    <col min="6658" max="6658" width="9.5703125" style="2" customWidth="1"/>
    <col min="6659" max="6659" width="8.42578125" style="2" customWidth="1"/>
    <col min="6660" max="6660" width="9.5703125" style="2" customWidth="1"/>
    <col min="6661" max="6661" width="8.28515625" style="2" customWidth="1"/>
    <col min="6662" max="6662" width="9.28515625" style="2" customWidth="1"/>
    <col min="6663" max="6663" width="9.85546875" style="2" customWidth="1"/>
    <col min="6664" max="6664" width="10.28515625" style="2" customWidth="1"/>
    <col min="6665" max="6665" width="10.42578125" style="2" customWidth="1"/>
    <col min="6666" max="6666" width="9.5703125" style="2" customWidth="1"/>
    <col min="6667" max="6667" width="10.140625" style="2" customWidth="1"/>
    <col min="6668" max="6668" width="9.5703125" style="2" customWidth="1"/>
    <col min="6669" max="6669" width="10.28515625" style="2" customWidth="1"/>
    <col min="6670" max="6670" width="10" style="2" customWidth="1"/>
    <col min="6671" max="6671" width="9.140625" style="2" customWidth="1"/>
    <col min="6672" max="6672" width="10.5703125" style="2" customWidth="1"/>
    <col min="6673" max="6673" width="9.28515625" style="2" customWidth="1"/>
    <col min="6674" max="6675" width="9.42578125" style="2" customWidth="1"/>
    <col min="6676" max="6676" width="9" style="2" customWidth="1"/>
    <col min="6677" max="6677" width="11" style="2" customWidth="1"/>
    <col min="6678" max="6678" width="9.28515625" style="2" customWidth="1"/>
    <col min="6679" max="6679" width="9.7109375" style="2" customWidth="1"/>
    <col min="6680" max="6680" width="10.85546875" style="2" customWidth="1"/>
    <col min="6681" max="6681" width="10.5703125" style="2" customWidth="1"/>
    <col min="6682" max="6682" width="10.28515625" style="2" customWidth="1"/>
    <col min="6683" max="6683" width="9.85546875" style="2" customWidth="1"/>
    <col min="6684" max="6684" width="10.28515625" style="2" customWidth="1"/>
    <col min="6685" max="6685" width="9" style="2" customWidth="1"/>
    <col min="6686" max="6686" width="9.85546875" style="2" customWidth="1"/>
    <col min="6687" max="6687" width="9.42578125" style="2" customWidth="1"/>
    <col min="6688" max="6688" width="9.140625" style="2" customWidth="1"/>
    <col min="6689" max="6689" width="11" style="2" customWidth="1"/>
    <col min="6690" max="6690" width="9.28515625" style="2" customWidth="1"/>
    <col min="6691" max="6691" width="9.5703125" style="2" customWidth="1"/>
    <col min="6692" max="6692" width="10.42578125" style="2" customWidth="1"/>
    <col min="6693" max="6693" width="9" style="2" customWidth="1"/>
    <col min="6694" max="6694" width="9.7109375" style="2" customWidth="1"/>
    <col min="6695" max="6695" width="10" style="2" customWidth="1"/>
    <col min="6696" max="6696" width="10.7109375" style="2" customWidth="1"/>
    <col min="6697" max="6697" width="9.42578125" style="2" customWidth="1"/>
    <col min="6698" max="6698" width="10.28515625" style="2" customWidth="1"/>
    <col min="6699" max="6699" width="9.5703125" style="2" customWidth="1"/>
    <col min="6700" max="6700" width="10" style="2" customWidth="1"/>
    <col min="6701" max="6701" width="9" style="2" customWidth="1"/>
    <col min="6702" max="6702" width="10.5703125" style="2" customWidth="1"/>
    <col min="6703" max="6703" width="11.28515625" style="2" customWidth="1"/>
    <col min="6704" max="6704" width="10.5703125" style="2" customWidth="1"/>
    <col min="6705" max="6705" width="9.7109375" style="2" customWidth="1"/>
    <col min="6706" max="6706" width="9.5703125" style="2" customWidth="1"/>
    <col min="6707" max="6707" width="10.5703125" style="2" customWidth="1"/>
    <col min="6708" max="6708" width="10.42578125" style="2" customWidth="1"/>
    <col min="6709" max="6709" width="9.85546875" style="2" customWidth="1"/>
    <col min="6710" max="6710" width="10.5703125" style="2" bestFit="1" customWidth="1"/>
    <col min="6711" max="6713" width="10.140625" style="2" bestFit="1" customWidth="1"/>
    <col min="6714" max="6714" width="8.85546875" style="2" customWidth="1"/>
    <col min="6715" max="6715" width="9.140625" style="2" bestFit="1" customWidth="1"/>
    <col min="6716" max="6717" width="10.140625" style="2" customWidth="1"/>
    <col min="6718" max="6718" width="10" style="2" customWidth="1"/>
    <col min="6719" max="6719" width="8.28515625" style="2" customWidth="1"/>
    <col min="6720" max="6720" width="9" style="2" customWidth="1"/>
    <col min="6721" max="6721" width="10.5703125" style="2" customWidth="1"/>
    <col min="6722" max="6722" width="10.140625" style="2" customWidth="1"/>
    <col min="6723" max="6723" width="9.7109375" style="2" customWidth="1"/>
    <col min="6724" max="6724" width="9.140625" style="2" customWidth="1"/>
    <col min="6725" max="6725" width="10.140625" style="2" customWidth="1"/>
    <col min="6726" max="6726" width="9" style="2" customWidth="1"/>
    <col min="6727" max="6727" width="9.28515625" style="2" customWidth="1"/>
    <col min="6728" max="6728" width="11" style="2" customWidth="1"/>
    <col min="6729" max="6729" width="10.140625" style="2" customWidth="1"/>
    <col min="6730" max="6730" width="10.7109375" style="2" customWidth="1"/>
    <col min="6731" max="6731" width="9.85546875" style="2" customWidth="1"/>
    <col min="6732" max="6732" width="11" style="2" customWidth="1"/>
    <col min="6733" max="6733" width="10" style="2" customWidth="1"/>
    <col min="6734" max="6734" width="9.140625" style="2" customWidth="1"/>
    <col min="6735" max="6735" width="10.28515625" style="2" customWidth="1"/>
    <col min="6736" max="6736" width="10.5703125" style="2" customWidth="1"/>
    <col min="6737" max="6737" width="9.85546875" style="2" customWidth="1"/>
    <col min="6738" max="6738" width="10.7109375" style="2" customWidth="1"/>
    <col min="6739" max="6739" width="9.42578125" style="2" customWidth="1"/>
    <col min="6740" max="6740" width="10.42578125" style="2" customWidth="1"/>
    <col min="6741" max="6741" width="9.85546875" style="2" customWidth="1"/>
    <col min="6742" max="6742" width="10.7109375" style="2" customWidth="1"/>
    <col min="6743" max="6743" width="10.140625" style="2" customWidth="1"/>
    <col min="6744" max="6744" width="10.28515625" style="2" customWidth="1"/>
    <col min="6745" max="6745" width="9" style="2" customWidth="1"/>
    <col min="6746" max="6746" width="11.140625" style="2" customWidth="1"/>
    <col min="6747" max="6747" width="10.28515625" style="2" customWidth="1"/>
    <col min="6748" max="6748" width="9.42578125" style="2" customWidth="1"/>
    <col min="6749" max="6749" width="10.42578125" style="2" customWidth="1"/>
    <col min="6750" max="6750" width="9.42578125" style="2" customWidth="1"/>
    <col min="6751" max="6751" width="9" style="2" customWidth="1"/>
    <col min="6752" max="6752" width="10.28515625" style="2" customWidth="1"/>
    <col min="6753" max="6753" width="8.42578125" style="2" customWidth="1"/>
    <col min="6754" max="6754" width="9.7109375" style="2" customWidth="1"/>
    <col min="6755" max="6755" width="8.7109375" style="2" customWidth="1"/>
    <col min="6756" max="6756" width="9.42578125" style="2" customWidth="1"/>
    <col min="6757" max="6757" width="10.85546875" style="2" customWidth="1"/>
    <col min="6758" max="6758" width="9.7109375" style="2" customWidth="1"/>
    <col min="6759" max="6759" width="11.42578125" style="2" customWidth="1"/>
    <col min="6760" max="6760" width="11" style="2" customWidth="1"/>
    <col min="6761" max="6761" width="9.42578125" style="2" customWidth="1"/>
    <col min="6762" max="6762" width="10.28515625" style="2" customWidth="1"/>
    <col min="6763" max="6763" width="10.42578125" style="2" customWidth="1"/>
    <col min="6764" max="6764" width="10.28515625" style="2" customWidth="1"/>
    <col min="6765" max="6766" width="9.140625" style="2" bestFit="1" customWidth="1"/>
    <col min="6767" max="6767" width="10" style="2" customWidth="1"/>
    <col min="6768" max="6768" width="9.140625" style="2" customWidth="1"/>
    <col min="6769" max="6769" width="9.85546875" style="2" customWidth="1"/>
    <col min="6770" max="6770" width="9.5703125" style="2" customWidth="1"/>
    <col min="6771" max="6771" width="10.85546875" style="2" customWidth="1"/>
    <col min="6772" max="6772" width="10.5703125" style="2" customWidth="1"/>
    <col min="6773" max="6773" width="10.28515625" style="2" customWidth="1"/>
    <col min="6774" max="6774" width="9.5703125" style="2" customWidth="1"/>
    <col min="6775" max="6775" width="9.28515625" style="2" customWidth="1"/>
    <col min="6776" max="6776" width="10.28515625" style="2" customWidth="1"/>
    <col min="6777" max="6777" width="10" style="2" customWidth="1"/>
    <col min="6778" max="6778" width="9" style="2" customWidth="1"/>
    <col min="6779" max="6779" width="10.42578125" style="2" customWidth="1"/>
    <col min="6780" max="6781" width="9.85546875" style="2" customWidth="1"/>
    <col min="6782" max="6782" width="10" style="2" customWidth="1"/>
    <col min="6783" max="6783" width="8.28515625" style="2" customWidth="1"/>
    <col min="6784" max="6784" width="9.85546875" style="2" customWidth="1"/>
    <col min="6785" max="6785" width="11.5703125" style="2" customWidth="1"/>
    <col min="6786" max="6786" width="9.140625" style="2" bestFit="1" customWidth="1"/>
    <col min="6787" max="6787" width="10" style="2" customWidth="1"/>
    <col min="6788" max="6788" width="8" style="2" customWidth="1"/>
    <col min="6789" max="6789" width="11.28515625" style="2" customWidth="1"/>
    <col min="6790" max="6792" width="10.140625" style="2" bestFit="1" customWidth="1"/>
    <col min="6793" max="6793" width="12.28515625" style="2" customWidth="1"/>
    <col min="6794" max="6795" width="5.7109375" style="2"/>
    <col min="6796" max="6796" width="10.28515625" style="2" bestFit="1" customWidth="1"/>
    <col min="6797" max="6802" width="5.7109375" style="2"/>
    <col min="6803" max="6803" width="22" style="2" customWidth="1"/>
    <col min="6804" max="6804" width="16" style="2" customWidth="1"/>
    <col min="6805" max="6805" width="7.140625" style="2" bestFit="1" customWidth="1"/>
    <col min="6806" max="6806" width="9.28515625" style="2" bestFit="1" customWidth="1"/>
    <col min="6807" max="6867" width="5.7109375" style="2"/>
    <col min="6868" max="6868" width="29.42578125" style="2" customWidth="1"/>
    <col min="6869" max="6869" width="4.7109375" style="2" customWidth="1"/>
    <col min="6870" max="6871" width="9.7109375" style="2" customWidth="1"/>
    <col min="6872" max="6872" width="9.42578125" style="2" customWidth="1"/>
    <col min="6873" max="6873" width="9.140625" style="2" customWidth="1"/>
    <col min="6874" max="6874" width="8.85546875" style="2" customWidth="1"/>
    <col min="6875" max="6875" width="9.7109375" style="2" customWidth="1"/>
    <col min="6876" max="6876" width="8.140625" style="2" customWidth="1"/>
    <col min="6877" max="6877" width="10.42578125" style="2" customWidth="1"/>
    <col min="6878" max="6878" width="9.140625" style="2" customWidth="1"/>
    <col min="6879" max="6879" width="9.85546875" style="2" customWidth="1"/>
    <col min="6880" max="6880" width="9.42578125" style="2" customWidth="1"/>
    <col min="6881" max="6881" width="9.5703125" style="2" customWidth="1"/>
    <col min="6882" max="6882" width="9.28515625" style="2" customWidth="1"/>
    <col min="6883" max="6883" width="9.140625" style="2" customWidth="1"/>
    <col min="6884" max="6884" width="9.28515625" style="2" bestFit="1" customWidth="1"/>
    <col min="6885" max="6885" width="10.5703125" style="2" customWidth="1"/>
    <col min="6886" max="6886" width="7.7109375" style="2" customWidth="1"/>
    <col min="6887" max="6887" width="9.140625" style="2" customWidth="1"/>
    <col min="6888" max="6888" width="7.85546875" style="2" customWidth="1"/>
    <col min="6889" max="6889" width="8.7109375" style="2" customWidth="1"/>
    <col min="6890" max="6890" width="9.42578125" style="2" customWidth="1"/>
    <col min="6891" max="6891" width="10.28515625" style="2" customWidth="1"/>
    <col min="6892" max="6892" width="9.85546875" style="2" customWidth="1"/>
    <col min="6893" max="6893" width="10.140625" style="2" customWidth="1"/>
    <col min="6894" max="6895" width="8.140625" style="2" customWidth="1"/>
    <col min="6896" max="6897" width="7.85546875" style="2" customWidth="1"/>
    <col min="6898" max="6898" width="9.140625" style="2" customWidth="1"/>
    <col min="6899" max="6899" width="9.7109375" style="2" customWidth="1"/>
    <col min="6900" max="6900" width="8.28515625" style="2" customWidth="1"/>
    <col min="6901" max="6901" width="9.140625" style="2" customWidth="1"/>
    <col min="6902" max="6902" width="10" style="2" customWidth="1"/>
    <col min="6903" max="6903" width="10.28515625" style="2" customWidth="1"/>
    <col min="6904" max="6904" width="9.85546875" style="2" customWidth="1"/>
    <col min="6905" max="6905" width="9.42578125" style="2" customWidth="1"/>
    <col min="6906" max="6906" width="9.7109375" style="2" customWidth="1"/>
    <col min="6907" max="6907" width="9.42578125" style="2" customWidth="1"/>
    <col min="6908" max="6908" width="9.28515625" style="2" customWidth="1"/>
    <col min="6909" max="6909" width="10.5703125" style="2" customWidth="1"/>
    <col min="6910" max="6911" width="8.85546875" style="2" customWidth="1"/>
    <col min="6912" max="6912" width="8.28515625" style="2" customWidth="1"/>
    <col min="6913" max="6913" width="8.85546875" style="2" customWidth="1"/>
    <col min="6914" max="6914" width="9.5703125" style="2" customWidth="1"/>
    <col min="6915" max="6915" width="8.42578125" style="2" customWidth="1"/>
    <col min="6916" max="6916" width="9.5703125" style="2" customWidth="1"/>
    <col min="6917" max="6917" width="8.28515625" style="2" customWidth="1"/>
    <col min="6918" max="6918" width="9.28515625" style="2" customWidth="1"/>
    <col min="6919" max="6919" width="9.85546875" style="2" customWidth="1"/>
    <col min="6920" max="6920" width="10.28515625" style="2" customWidth="1"/>
    <col min="6921" max="6921" width="10.42578125" style="2" customWidth="1"/>
    <col min="6922" max="6922" width="9.5703125" style="2" customWidth="1"/>
    <col min="6923" max="6923" width="10.140625" style="2" customWidth="1"/>
    <col min="6924" max="6924" width="9.5703125" style="2" customWidth="1"/>
    <col min="6925" max="6925" width="10.28515625" style="2" customWidth="1"/>
    <col min="6926" max="6926" width="10" style="2" customWidth="1"/>
    <col min="6927" max="6927" width="9.140625" style="2" customWidth="1"/>
    <col min="6928" max="6928" width="10.5703125" style="2" customWidth="1"/>
    <col min="6929" max="6929" width="9.28515625" style="2" customWidth="1"/>
    <col min="6930" max="6931" width="9.42578125" style="2" customWidth="1"/>
    <col min="6932" max="6932" width="9" style="2" customWidth="1"/>
    <col min="6933" max="6933" width="11" style="2" customWidth="1"/>
    <col min="6934" max="6934" width="9.28515625" style="2" customWidth="1"/>
    <col min="6935" max="6935" width="9.7109375" style="2" customWidth="1"/>
    <col min="6936" max="6936" width="10.85546875" style="2" customWidth="1"/>
    <col min="6937" max="6937" width="10.5703125" style="2" customWidth="1"/>
    <col min="6938" max="6938" width="10.28515625" style="2" customWidth="1"/>
    <col min="6939" max="6939" width="9.85546875" style="2" customWidth="1"/>
    <col min="6940" max="6940" width="10.28515625" style="2" customWidth="1"/>
    <col min="6941" max="6941" width="9" style="2" customWidth="1"/>
    <col min="6942" max="6942" width="9.85546875" style="2" customWidth="1"/>
    <col min="6943" max="6943" width="9.42578125" style="2" customWidth="1"/>
    <col min="6944" max="6944" width="9.140625" style="2" customWidth="1"/>
    <col min="6945" max="6945" width="11" style="2" customWidth="1"/>
    <col min="6946" max="6946" width="9.28515625" style="2" customWidth="1"/>
    <col min="6947" max="6947" width="9.5703125" style="2" customWidth="1"/>
    <col min="6948" max="6948" width="10.42578125" style="2" customWidth="1"/>
    <col min="6949" max="6949" width="9" style="2" customWidth="1"/>
    <col min="6950" max="6950" width="9.7109375" style="2" customWidth="1"/>
    <col min="6951" max="6951" width="10" style="2" customWidth="1"/>
    <col min="6952" max="6952" width="10.7109375" style="2" customWidth="1"/>
    <col min="6953" max="6953" width="9.42578125" style="2" customWidth="1"/>
    <col min="6954" max="6954" width="10.28515625" style="2" customWidth="1"/>
    <col min="6955" max="6955" width="9.5703125" style="2" customWidth="1"/>
    <col min="6956" max="6956" width="10" style="2" customWidth="1"/>
    <col min="6957" max="6957" width="9" style="2" customWidth="1"/>
    <col min="6958" max="6958" width="10.5703125" style="2" customWidth="1"/>
    <col min="6959" max="6959" width="11.28515625" style="2" customWidth="1"/>
    <col min="6960" max="6960" width="10.5703125" style="2" customWidth="1"/>
    <col min="6961" max="6961" width="9.7109375" style="2" customWidth="1"/>
    <col min="6962" max="6962" width="9.5703125" style="2" customWidth="1"/>
    <col min="6963" max="6963" width="10.5703125" style="2" customWidth="1"/>
    <col min="6964" max="6964" width="10.42578125" style="2" customWidth="1"/>
    <col min="6965" max="6965" width="9.85546875" style="2" customWidth="1"/>
    <col min="6966" max="6966" width="10.5703125" style="2" bestFit="1" customWidth="1"/>
    <col min="6967" max="6969" width="10.140625" style="2" bestFit="1" customWidth="1"/>
    <col min="6970" max="6970" width="8.85546875" style="2" customWidth="1"/>
    <col min="6971" max="6971" width="9.140625" style="2" bestFit="1" customWidth="1"/>
    <col min="6972" max="6973" width="10.140625" style="2" customWidth="1"/>
    <col min="6974" max="6974" width="10" style="2" customWidth="1"/>
    <col min="6975" max="6975" width="8.28515625" style="2" customWidth="1"/>
    <col min="6976" max="6976" width="9" style="2" customWidth="1"/>
    <col min="6977" max="6977" width="10.5703125" style="2" customWidth="1"/>
    <col min="6978" max="6978" width="10.140625" style="2" customWidth="1"/>
    <col min="6979" max="6979" width="9.7109375" style="2" customWidth="1"/>
    <col min="6980" max="6980" width="9.140625" style="2" customWidth="1"/>
    <col min="6981" max="6981" width="10.140625" style="2" customWidth="1"/>
    <col min="6982" max="6982" width="9" style="2" customWidth="1"/>
    <col min="6983" max="6983" width="9.28515625" style="2" customWidth="1"/>
    <col min="6984" max="6984" width="11" style="2" customWidth="1"/>
    <col min="6985" max="6985" width="10.140625" style="2" customWidth="1"/>
    <col min="6986" max="6986" width="10.7109375" style="2" customWidth="1"/>
    <col min="6987" max="6987" width="9.85546875" style="2" customWidth="1"/>
    <col min="6988" max="6988" width="11" style="2" customWidth="1"/>
    <col min="6989" max="6989" width="10" style="2" customWidth="1"/>
    <col min="6990" max="6990" width="9.140625" style="2" customWidth="1"/>
    <col min="6991" max="6991" width="10.28515625" style="2" customWidth="1"/>
    <col min="6992" max="6992" width="10.5703125" style="2" customWidth="1"/>
    <col min="6993" max="6993" width="9.85546875" style="2" customWidth="1"/>
    <col min="6994" max="6994" width="10.7109375" style="2" customWidth="1"/>
    <col min="6995" max="6995" width="9.42578125" style="2" customWidth="1"/>
    <col min="6996" max="6996" width="10.42578125" style="2" customWidth="1"/>
    <col min="6997" max="6997" width="9.85546875" style="2" customWidth="1"/>
    <col min="6998" max="6998" width="10.7109375" style="2" customWidth="1"/>
    <col min="6999" max="6999" width="10.140625" style="2" customWidth="1"/>
    <col min="7000" max="7000" width="10.28515625" style="2" customWidth="1"/>
    <col min="7001" max="7001" width="9" style="2" customWidth="1"/>
    <col min="7002" max="7002" width="11.140625" style="2" customWidth="1"/>
    <col min="7003" max="7003" width="10.28515625" style="2" customWidth="1"/>
    <col min="7004" max="7004" width="9.42578125" style="2" customWidth="1"/>
    <col min="7005" max="7005" width="10.42578125" style="2" customWidth="1"/>
    <col min="7006" max="7006" width="9.42578125" style="2" customWidth="1"/>
    <col min="7007" max="7007" width="9" style="2" customWidth="1"/>
    <col min="7008" max="7008" width="10.28515625" style="2" customWidth="1"/>
    <col min="7009" max="7009" width="8.42578125" style="2" customWidth="1"/>
    <col min="7010" max="7010" width="9.7109375" style="2" customWidth="1"/>
    <col min="7011" max="7011" width="8.7109375" style="2" customWidth="1"/>
    <col min="7012" max="7012" width="9.42578125" style="2" customWidth="1"/>
    <col min="7013" max="7013" width="10.85546875" style="2" customWidth="1"/>
    <col min="7014" max="7014" width="9.7109375" style="2" customWidth="1"/>
    <col min="7015" max="7015" width="11.42578125" style="2" customWidth="1"/>
    <col min="7016" max="7016" width="11" style="2" customWidth="1"/>
    <col min="7017" max="7017" width="9.42578125" style="2" customWidth="1"/>
    <col min="7018" max="7018" width="10.28515625" style="2" customWidth="1"/>
    <col min="7019" max="7019" width="10.42578125" style="2" customWidth="1"/>
    <col min="7020" max="7020" width="10.28515625" style="2" customWidth="1"/>
    <col min="7021" max="7022" width="9.140625" style="2" bestFit="1" customWidth="1"/>
    <col min="7023" max="7023" width="10" style="2" customWidth="1"/>
    <col min="7024" max="7024" width="9.140625" style="2" customWidth="1"/>
    <col min="7025" max="7025" width="9.85546875" style="2" customWidth="1"/>
    <col min="7026" max="7026" width="9.5703125" style="2" customWidth="1"/>
    <col min="7027" max="7027" width="10.85546875" style="2" customWidth="1"/>
    <col min="7028" max="7028" width="10.5703125" style="2" customWidth="1"/>
    <col min="7029" max="7029" width="10.28515625" style="2" customWidth="1"/>
    <col min="7030" max="7030" width="9.5703125" style="2" customWidth="1"/>
    <col min="7031" max="7031" width="9.28515625" style="2" customWidth="1"/>
    <col min="7032" max="7032" width="10.28515625" style="2" customWidth="1"/>
    <col min="7033" max="7033" width="10" style="2" customWidth="1"/>
    <col min="7034" max="7034" width="9" style="2" customWidth="1"/>
    <col min="7035" max="7035" width="10.42578125" style="2" customWidth="1"/>
    <col min="7036" max="7037" width="9.85546875" style="2" customWidth="1"/>
    <col min="7038" max="7038" width="10" style="2" customWidth="1"/>
    <col min="7039" max="7039" width="8.28515625" style="2" customWidth="1"/>
    <col min="7040" max="7040" width="9.85546875" style="2" customWidth="1"/>
    <col min="7041" max="7041" width="11.5703125" style="2" customWidth="1"/>
    <col min="7042" max="7042" width="9.140625" style="2" bestFit="1" customWidth="1"/>
    <col min="7043" max="7043" width="10" style="2" customWidth="1"/>
    <col min="7044" max="7044" width="8" style="2" customWidth="1"/>
    <col min="7045" max="7045" width="11.28515625" style="2" customWidth="1"/>
    <col min="7046" max="7048" width="10.140625" style="2" bestFit="1" customWidth="1"/>
    <col min="7049" max="7049" width="12.28515625" style="2" customWidth="1"/>
    <col min="7050" max="7051" width="5.7109375" style="2"/>
    <col min="7052" max="7052" width="10.28515625" style="2" bestFit="1" customWidth="1"/>
    <col min="7053" max="7058" width="5.7109375" style="2"/>
    <col min="7059" max="7059" width="22" style="2" customWidth="1"/>
    <col min="7060" max="7060" width="16" style="2" customWidth="1"/>
    <col min="7061" max="7061" width="7.140625" style="2" bestFit="1" customWidth="1"/>
    <col min="7062" max="7062" width="9.28515625" style="2" bestFit="1" customWidth="1"/>
    <col min="7063" max="7123" width="5.7109375" style="2"/>
    <col min="7124" max="7124" width="29.42578125" style="2" customWidth="1"/>
    <col min="7125" max="7125" width="4.7109375" style="2" customWidth="1"/>
    <col min="7126" max="7127" width="9.7109375" style="2" customWidth="1"/>
    <col min="7128" max="7128" width="9.42578125" style="2" customWidth="1"/>
    <col min="7129" max="7129" width="9.140625" style="2" customWidth="1"/>
    <col min="7130" max="7130" width="8.85546875" style="2" customWidth="1"/>
    <col min="7131" max="7131" width="9.7109375" style="2" customWidth="1"/>
    <col min="7132" max="7132" width="8.140625" style="2" customWidth="1"/>
    <col min="7133" max="7133" width="10.42578125" style="2" customWidth="1"/>
    <col min="7134" max="7134" width="9.140625" style="2" customWidth="1"/>
    <col min="7135" max="7135" width="9.85546875" style="2" customWidth="1"/>
    <col min="7136" max="7136" width="9.42578125" style="2" customWidth="1"/>
    <col min="7137" max="7137" width="9.5703125" style="2" customWidth="1"/>
    <col min="7138" max="7138" width="9.28515625" style="2" customWidth="1"/>
    <col min="7139" max="7139" width="9.140625" style="2" customWidth="1"/>
    <col min="7140" max="7140" width="9.28515625" style="2" bestFit="1" customWidth="1"/>
    <col min="7141" max="7141" width="10.5703125" style="2" customWidth="1"/>
    <col min="7142" max="7142" width="7.7109375" style="2" customWidth="1"/>
    <col min="7143" max="7143" width="9.140625" style="2" customWidth="1"/>
    <col min="7144" max="7144" width="7.85546875" style="2" customWidth="1"/>
    <col min="7145" max="7145" width="8.7109375" style="2" customWidth="1"/>
    <col min="7146" max="7146" width="9.42578125" style="2" customWidth="1"/>
    <col min="7147" max="7147" width="10.28515625" style="2" customWidth="1"/>
    <col min="7148" max="7148" width="9.85546875" style="2" customWidth="1"/>
    <col min="7149" max="7149" width="10.140625" style="2" customWidth="1"/>
    <col min="7150" max="7151" width="8.140625" style="2" customWidth="1"/>
    <col min="7152" max="7153" width="7.85546875" style="2" customWidth="1"/>
    <col min="7154" max="7154" width="9.140625" style="2" customWidth="1"/>
    <col min="7155" max="7155" width="9.7109375" style="2" customWidth="1"/>
    <col min="7156" max="7156" width="8.28515625" style="2" customWidth="1"/>
    <col min="7157" max="7157" width="9.140625" style="2" customWidth="1"/>
    <col min="7158" max="7158" width="10" style="2" customWidth="1"/>
    <col min="7159" max="7159" width="10.28515625" style="2" customWidth="1"/>
    <col min="7160" max="7160" width="9.85546875" style="2" customWidth="1"/>
    <col min="7161" max="7161" width="9.42578125" style="2" customWidth="1"/>
    <col min="7162" max="7162" width="9.7109375" style="2" customWidth="1"/>
    <col min="7163" max="7163" width="9.42578125" style="2" customWidth="1"/>
    <col min="7164" max="7164" width="9.28515625" style="2" customWidth="1"/>
    <col min="7165" max="7165" width="10.5703125" style="2" customWidth="1"/>
    <col min="7166" max="7167" width="8.85546875" style="2" customWidth="1"/>
    <col min="7168" max="7168" width="8.28515625" style="2" customWidth="1"/>
    <col min="7169" max="7169" width="8.85546875" style="2" customWidth="1"/>
    <col min="7170" max="7170" width="9.5703125" style="2" customWidth="1"/>
    <col min="7171" max="7171" width="8.42578125" style="2" customWidth="1"/>
    <col min="7172" max="7172" width="9.5703125" style="2" customWidth="1"/>
    <col min="7173" max="7173" width="8.28515625" style="2" customWidth="1"/>
    <col min="7174" max="7174" width="9.28515625" style="2" customWidth="1"/>
    <col min="7175" max="7175" width="9.85546875" style="2" customWidth="1"/>
    <col min="7176" max="7176" width="10.28515625" style="2" customWidth="1"/>
    <col min="7177" max="7177" width="10.42578125" style="2" customWidth="1"/>
    <col min="7178" max="7178" width="9.5703125" style="2" customWidth="1"/>
    <col min="7179" max="7179" width="10.140625" style="2" customWidth="1"/>
    <col min="7180" max="7180" width="9.5703125" style="2" customWidth="1"/>
    <col min="7181" max="7181" width="10.28515625" style="2" customWidth="1"/>
    <col min="7182" max="7182" width="10" style="2" customWidth="1"/>
    <col min="7183" max="7183" width="9.140625" style="2" customWidth="1"/>
    <col min="7184" max="7184" width="10.5703125" style="2" customWidth="1"/>
    <col min="7185" max="7185" width="9.28515625" style="2" customWidth="1"/>
    <col min="7186" max="7187" width="9.42578125" style="2" customWidth="1"/>
    <col min="7188" max="7188" width="9" style="2" customWidth="1"/>
    <col min="7189" max="7189" width="11" style="2" customWidth="1"/>
    <col min="7190" max="7190" width="9.28515625" style="2" customWidth="1"/>
    <col min="7191" max="7191" width="9.7109375" style="2" customWidth="1"/>
    <col min="7192" max="7192" width="10.85546875" style="2" customWidth="1"/>
    <col min="7193" max="7193" width="10.5703125" style="2" customWidth="1"/>
    <col min="7194" max="7194" width="10.28515625" style="2" customWidth="1"/>
    <col min="7195" max="7195" width="9.85546875" style="2" customWidth="1"/>
    <col min="7196" max="7196" width="10.28515625" style="2" customWidth="1"/>
    <col min="7197" max="7197" width="9" style="2" customWidth="1"/>
    <col min="7198" max="7198" width="9.85546875" style="2" customWidth="1"/>
    <col min="7199" max="7199" width="9.42578125" style="2" customWidth="1"/>
    <col min="7200" max="7200" width="9.140625" style="2" customWidth="1"/>
    <col min="7201" max="7201" width="11" style="2" customWidth="1"/>
    <col min="7202" max="7202" width="9.28515625" style="2" customWidth="1"/>
    <col min="7203" max="7203" width="9.5703125" style="2" customWidth="1"/>
    <col min="7204" max="7204" width="10.42578125" style="2" customWidth="1"/>
    <col min="7205" max="7205" width="9" style="2" customWidth="1"/>
    <col min="7206" max="7206" width="9.7109375" style="2" customWidth="1"/>
    <col min="7207" max="7207" width="10" style="2" customWidth="1"/>
    <col min="7208" max="7208" width="10.7109375" style="2" customWidth="1"/>
    <col min="7209" max="7209" width="9.42578125" style="2" customWidth="1"/>
    <col min="7210" max="7210" width="10.28515625" style="2" customWidth="1"/>
    <col min="7211" max="7211" width="9.5703125" style="2" customWidth="1"/>
    <col min="7212" max="7212" width="10" style="2" customWidth="1"/>
    <col min="7213" max="7213" width="9" style="2" customWidth="1"/>
    <col min="7214" max="7214" width="10.5703125" style="2" customWidth="1"/>
    <col min="7215" max="7215" width="11.28515625" style="2" customWidth="1"/>
    <col min="7216" max="7216" width="10.5703125" style="2" customWidth="1"/>
    <col min="7217" max="7217" width="9.7109375" style="2" customWidth="1"/>
    <col min="7218" max="7218" width="9.5703125" style="2" customWidth="1"/>
    <col min="7219" max="7219" width="10.5703125" style="2" customWidth="1"/>
    <col min="7220" max="7220" width="10.42578125" style="2" customWidth="1"/>
    <col min="7221" max="7221" width="9.85546875" style="2" customWidth="1"/>
    <col min="7222" max="7222" width="10.5703125" style="2" bestFit="1" customWidth="1"/>
    <col min="7223" max="7225" width="10.140625" style="2" bestFit="1" customWidth="1"/>
    <col min="7226" max="7226" width="8.85546875" style="2" customWidth="1"/>
    <col min="7227" max="7227" width="9.140625" style="2" bestFit="1" customWidth="1"/>
    <col min="7228" max="7229" width="10.140625" style="2" customWidth="1"/>
    <col min="7230" max="7230" width="10" style="2" customWidth="1"/>
    <col min="7231" max="7231" width="8.28515625" style="2" customWidth="1"/>
    <col min="7232" max="7232" width="9" style="2" customWidth="1"/>
    <col min="7233" max="7233" width="10.5703125" style="2" customWidth="1"/>
    <col min="7234" max="7234" width="10.140625" style="2" customWidth="1"/>
    <col min="7235" max="7235" width="9.7109375" style="2" customWidth="1"/>
    <col min="7236" max="7236" width="9.140625" style="2" customWidth="1"/>
    <col min="7237" max="7237" width="10.140625" style="2" customWidth="1"/>
    <col min="7238" max="7238" width="9" style="2" customWidth="1"/>
    <col min="7239" max="7239" width="9.28515625" style="2" customWidth="1"/>
    <col min="7240" max="7240" width="11" style="2" customWidth="1"/>
    <col min="7241" max="7241" width="10.140625" style="2" customWidth="1"/>
    <col min="7242" max="7242" width="10.7109375" style="2" customWidth="1"/>
    <col min="7243" max="7243" width="9.85546875" style="2" customWidth="1"/>
    <col min="7244" max="7244" width="11" style="2" customWidth="1"/>
    <col min="7245" max="7245" width="10" style="2" customWidth="1"/>
    <col min="7246" max="7246" width="9.140625" style="2" customWidth="1"/>
    <col min="7247" max="7247" width="10.28515625" style="2" customWidth="1"/>
    <col min="7248" max="7248" width="10.5703125" style="2" customWidth="1"/>
    <col min="7249" max="7249" width="9.85546875" style="2" customWidth="1"/>
    <col min="7250" max="7250" width="10.7109375" style="2" customWidth="1"/>
    <col min="7251" max="7251" width="9.42578125" style="2" customWidth="1"/>
    <col min="7252" max="7252" width="10.42578125" style="2" customWidth="1"/>
    <col min="7253" max="7253" width="9.85546875" style="2" customWidth="1"/>
    <col min="7254" max="7254" width="10.7109375" style="2" customWidth="1"/>
    <col min="7255" max="7255" width="10.140625" style="2" customWidth="1"/>
    <col min="7256" max="7256" width="10.28515625" style="2" customWidth="1"/>
    <col min="7257" max="7257" width="9" style="2" customWidth="1"/>
    <col min="7258" max="7258" width="11.140625" style="2" customWidth="1"/>
    <col min="7259" max="7259" width="10.28515625" style="2" customWidth="1"/>
    <col min="7260" max="7260" width="9.42578125" style="2" customWidth="1"/>
    <col min="7261" max="7261" width="10.42578125" style="2" customWidth="1"/>
    <col min="7262" max="7262" width="9.42578125" style="2" customWidth="1"/>
    <col min="7263" max="7263" width="9" style="2" customWidth="1"/>
    <col min="7264" max="7264" width="10.28515625" style="2" customWidth="1"/>
    <col min="7265" max="7265" width="8.42578125" style="2" customWidth="1"/>
    <col min="7266" max="7266" width="9.7109375" style="2" customWidth="1"/>
    <col min="7267" max="7267" width="8.7109375" style="2" customWidth="1"/>
    <col min="7268" max="7268" width="9.42578125" style="2" customWidth="1"/>
    <col min="7269" max="7269" width="10.85546875" style="2" customWidth="1"/>
    <col min="7270" max="7270" width="9.7109375" style="2" customWidth="1"/>
    <col min="7271" max="7271" width="11.42578125" style="2" customWidth="1"/>
    <col min="7272" max="7272" width="11" style="2" customWidth="1"/>
    <col min="7273" max="7273" width="9.42578125" style="2" customWidth="1"/>
    <col min="7274" max="7274" width="10.28515625" style="2" customWidth="1"/>
    <col min="7275" max="7275" width="10.42578125" style="2" customWidth="1"/>
    <col min="7276" max="7276" width="10.28515625" style="2" customWidth="1"/>
    <col min="7277" max="7278" width="9.140625" style="2" bestFit="1" customWidth="1"/>
    <col min="7279" max="7279" width="10" style="2" customWidth="1"/>
    <col min="7280" max="7280" width="9.140625" style="2" customWidth="1"/>
    <col min="7281" max="7281" width="9.85546875" style="2" customWidth="1"/>
    <col min="7282" max="7282" width="9.5703125" style="2" customWidth="1"/>
    <col min="7283" max="7283" width="10.85546875" style="2" customWidth="1"/>
    <col min="7284" max="7284" width="10.5703125" style="2" customWidth="1"/>
    <col min="7285" max="7285" width="10.28515625" style="2" customWidth="1"/>
    <col min="7286" max="7286" width="9.5703125" style="2" customWidth="1"/>
    <col min="7287" max="7287" width="9.28515625" style="2" customWidth="1"/>
    <col min="7288" max="7288" width="10.28515625" style="2" customWidth="1"/>
    <col min="7289" max="7289" width="10" style="2" customWidth="1"/>
    <col min="7290" max="7290" width="9" style="2" customWidth="1"/>
    <col min="7291" max="7291" width="10.42578125" style="2" customWidth="1"/>
    <col min="7292" max="7293" width="9.85546875" style="2" customWidth="1"/>
    <col min="7294" max="7294" width="10" style="2" customWidth="1"/>
    <col min="7295" max="7295" width="8.28515625" style="2" customWidth="1"/>
    <col min="7296" max="7296" width="9.85546875" style="2" customWidth="1"/>
    <col min="7297" max="7297" width="11.5703125" style="2" customWidth="1"/>
    <col min="7298" max="7298" width="9.140625" style="2" bestFit="1" customWidth="1"/>
    <col min="7299" max="7299" width="10" style="2" customWidth="1"/>
    <col min="7300" max="7300" width="8" style="2" customWidth="1"/>
    <col min="7301" max="7301" width="11.28515625" style="2" customWidth="1"/>
    <col min="7302" max="7304" width="10.140625" style="2" bestFit="1" customWidth="1"/>
    <col min="7305" max="7305" width="12.28515625" style="2" customWidth="1"/>
    <col min="7306" max="7307" width="5.7109375" style="2"/>
    <col min="7308" max="7308" width="10.28515625" style="2" bestFit="1" customWidth="1"/>
    <col min="7309" max="7314" width="5.7109375" style="2"/>
    <col min="7315" max="7315" width="22" style="2" customWidth="1"/>
    <col min="7316" max="7316" width="16" style="2" customWidth="1"/>
    <col min="7317" max="7317" width="7.140625" style="2" bestFit="1" customWidth="1"/>
    <col min="7318" max="7318" width="9.28515625" style="2" bestFit="1" customWidth="1"/>
    <col min="7319" max="7379" width="5.7109375" style="2"/>
    <col min="7380" max="7380" width="29.42578125" style="2" customWidth="1"/>
    <col min="7381" max="7381" width="4.7109375" style="2" customWidth="1"/>
    <col min="7382" max="7383" width="9.7109375" style="2" customWidth="1"/>
    <col min="7384" max="7384" width="9.42578125" style="2" customWidth="1"/>
    <col min="7385" max="7385" width="9.140625" style="2" customWidth="1"/>
    <col min="7386" max="7386" width="8.85546875" style="2" customWidth="1"/>
    <col min="7387" max="7387" width="9.7109375" style="2" customWidth="1"/>
    <col min="7388" max="7388" width="8.140625" style="2" customWidth="1"/>
    <col min="7389" max="7389" width="10.42578125" style="2" customWidth="1"/>
    <col min="7390" max="7390" width="9.140625" style="2" customWidth="1"/>
    <col min="7391" max="7391" width="9.85546875" style="2" customWidth="1"/>
    <col min="7392" max="7392" width="9.42578125" style="2" customWidth="1"/>
    <col min="7393" max="7393" width="9.5703125" style="2" customWidth="1"/>
    <col min="7394" max="7394" width="9.28515625" style="2" customWidth="1"/>
    <col min="7395" max="7395" width="9.140625" style="2" customWidth="1"/>
    <col min="7396" max="7396" width="9.28515625" style="2" bestFit="1" customWidth="1"/>
    <col min="7397" max="7397" width="10.5703125" style="2" customWidth="1"/>
    <col min="7398" max="7398" width="7.7109375" style="2" customWidth="1"/>
    <col min="7399" max="7399" width="9.140625" style="2" customWidth="1"/>
    <col min="7400" max="7400" width="7.85546875" style="2" customWidth="1"/>
    <col min="7401" max="7401" width="8.7109375" style="2" customWidth="1"/>
    <col min="7402" max="7402" width="9.42578125" style="2" customWidth="1"/>
    <col min="7403" max="7403" width="10.28515625" style="2" customWidth="1"/>
    <col min="7404" max="7404" width="9.85546875" style="2" customWidth="1"/>
    <col min="7405" max="7405" width="10.140625" style="2" customWidth="1"/>
    <col min="7406" max="7407" width="8.140625" style="2" customWidth="1"/>
    <col min="7408" max="7409" width="7.85546875" style="2" customWidth="1"/>
    <col min="7410" max="7410" width="9.140625" style="2" customWidth="1"/>
    <col min="7411" max="7411" width="9.7109375" style="2" customWidth="1"/>
    <col min="7412" max="7412" width="8.28515625" style="2" customWidth="1"/>
    <col min="7413" max="7413" width="9.140625" style="2" customWidth="1"/>
    <col min="7414" max="7414" width="10" style="2" customWidth="1"/>
    <col min="7415" max="7415" width="10.28515625" style="2" customWidth="1"/>
    <col min="7416" max="7416" width="9.85546875" style="2" customWidth="1"/>
    <col min="7417" max="7417" width="9.42578125" style="2" customWidth="1"/>
    <col min="7418" max="7418" width="9.7109375" style="2" customWidth="1"/>
    <col min="7419" max="7419" width="9.42578125" style="2" customWidth="1"/>
    <col min="7420" max="7420" width="9.28515625" style="2" customWidth="1"/>
    <col min="7421" max="7421" width="10.5703125" style="2" customWidth="1"/>
    <col min="7422" max="7423" width="8.85546875" style="2" customWidth="1"/>
    <col min="7424" max="7424" width="8.28515625" style="2" customWidth="1"/>
    <col min="7425" max="7425" width="8.85546875" style="2" customWidth="1"/>
    <col min="7426" max="7426" width="9.5703125" style="2" customWidth="1"/>
    <col min="7427" max="7427" width="8.42578125" style="2" customWidth="1"/>
    <col min="7428" max="7428" width="9.5703125" style="2" customWidth="1"/>
    <col min="7429" max="7429" width="8.28515625" style="2" customWidth="1"/>
    <col min="7430" max="7430" width="9.28515625" style="2" customWidth="1"/>
    <col min="7431" max="7431" width="9.85546875" style="2" customWidth="1"/>
    <col min="7432" max="7432" width="10.28515625" style="2" customWidth="1"/>
    <col min="7433" max="7433" width="10.42578125" style="2" customWidth="1"/>
    <col min="7434" max="7434" width="9.5703125" style="2" customWidth="1"/>
    <col min="7435" max="7435" width="10.140625" style="2" customWidth="1"/>
    <col min="7436" max="7436" width="9.5703125" style="2" customWidth="1"/>
    <col min="7437" max="7437" width="10.28515625" style="2" customWidth="1"/>
    <col min="7438" max="7438" width="10" style="2" customWidth="1"/>
    <col min="7439" max="7439" width="9.140625" style="2" customWidth="1"/>
    <col min="7440" max="7440" width="10.5703125" style="2" customWidth="1"/>
    <col min="7441" max="7441" width="9.28515625" style="2" customWidth="1"/>
    <col min="7442" max="7443" width="9.42578125" style="2" customWidth="1"/>
    <col min="7444" max="7444" width="9" style="2" customWidth="1"/>
    <col min="7445" max="7445" width="11" style="2" customWidth="1"/>
    <col min="7446" max="7446" width="9.28515625" style="2" customWidth="1"/>
    <col min="7447" max="7447" width="9.7109375" style="2" customWidth="1"/>
    <col min="7448" max="7448" width="10.85546875" style="2" customWidth="1"/>
    <col min="7449" max="7449" width="10.5703125" style="2" customWidth="1"/>
    <col min="7450" max="7450" width="10.28515625" style="2" customWidth="1"/>
    <col min="7451" max="7451" width="9.85546875" style="2" customWidth="1"/>
    <col min="7452" max="7452" width="10.28515625" style="2" customWidth="1"/>
    <col min="7453" max="7453" width="9" style="2" customWidth="1"/>
    <col min="7454" max="7454" width="9.85546875" style="2" customWidth="1"/>
    <col min="7455" max="7455" width="9.42578125" style="2" customWidth="1"/>
    <col min="7456" max="7456" width="9.140625" style="2" customWidth="1"/>
    <col min="7457" max="7457" width="11" style="2" customWidth="1"/>
    <col min="7458" max="7458" width="9.28515625" style="2" customWidth="1"/>
    <col min="7459" max="7459" width="9.5703125" style="2" customWidth="1"/>
    <col min="7460" max="7460" width="10.42578125" style="2" customWidth="1"/>
    <col min="7461" max="7461" width="9" style="2" customWidth="1"/>
    <col min="7462" max="7462" width="9.7109375" style="2" customWidth="1"/>
    <col min="7463" max="7463" width="10" style="2" customWidth="1"/>
    <col min="7464" max="7464" width="10.7109375" style="2" customWidth="1"/>
    <col min="7465" max="7465" width="9.42578125" style="2" customWidth="1"/>
    <col min="7466" max="7466" width="10.28515625" style="2" customWidth="1"/>
    <col min="7467" max="7467" width="9.5703125" style="2" customWidth="1"/>
    <col min="7468" max="7468" width="10" style="2" customWidth="1"/>
    <col min="7469" max="7469" width="9" style="2" customWidth="1"/>
    <col min="7470" max="7470" width="10.5703125" style="2" customWidth="1"/>
    <col min="7471" max="7471" width="11.28515625" style="2" customWidth="1"/>
    <col min="7472" max="7472" width="10.5703125" style="2" customWidth="1"/>
    <col min="7473" max="7473" width="9.7109375" style="2" customWidth="1"/>
    <col min="7474" max="7474" width="9.5703125" style="2" customWidth="1"/>
    <col min="7475" max="7475" width="10.5703125" style="2" customWidth="1"/>
    <col min="7476" max="7476" width="10.42578125" style="2" customWidth="1"/>
    <col min="7477" max="7477" width="9.85546875" style="2" customWidth="1"/>
    <col min="7478" max="7478" width="10.5703125" style="2" bestFit="1" customWidth="1"/>
    <col min="7479" max="7481" width="10.140625" style="2" bestFit="1" customWidth="1"/>
    <col min="7482" max="7482" width="8.85546875" style="2" customWidth="1"/>
    <col min="7483" max="7483" width="9.140625" style="2" bestFit="1" customWidth="1"/>
    <col min="7484" max="7485" width="10.140625" style="2" customWidth="1"/>
    <col min="7486" max="7486" width="10" style="2" customWidth="1"/>
    <col min="7487" max="7487" width="8.28515625" style="2" customWidth="1"/>
    <col min="7488" max="7488" width="9" style="2" customWidth="1"/>
    <col min="7489" max="7489" width="10.5703125" style="2" customWidth="1"/>
    <col min="7490" max="7490" width="10.140625" style="2" customWidth="1"/>
    <col min="7491" max="7491" width="9.7109375" style="2" customWidth="1"/>
    <col min="7492" max="7492" width="9.140625" style="2" customWidth="1"/>
    <col min="7493" max="7493" width="10.140625" style="2" customWidth="1"/>
    <col min="7494" max="7494" width="9" style="2" customWidth="1"/>
    <col min="7495" max="7495" width="9.28515625" style="2" customWidth="1"/>
    <col min="7496" max="7496" width="11" style="2" customWidth="1"/>
    <col min="7497" max="7497" width="10.140625" style="2" customWidth="1"/>
    <col min="7498" max="7498" width="10.7109375" style="2" customWidth="1"/>
    <col min="7499" max="7499" width="9.85546875" style="2" customWidth="1"/>
    <col min="7500" max="7500" width="11" style="2" customWidth="1"/>
    <col min="7501" max="7501" width="10" style="2" customWidth="1"/>
    <col min="7502" max="7502" width="9.140625" style="2" customWidth="1"/>
    <col min="7503" max="7503" width="10.28515625" style="2" customWidth="1"/>
    <col min="7504" max="7504" width="10.5703125" style="2" customWidth="1"/>
    <col min="7505" max="7505" width="9.85546875" style="2" customWidth="1"/>
    <col min="7506" max="7506" width="10.7109375" style="2" customWidth="1"/>
    <col min="7507" max="7507" width="9.42578125" style="2" customWidth="1"/>
    <col min="7508" max="7508" width="10.42578125" style="2" customWidth="1"/>
    <col min="7509" max="7509" width="9.85546875" style="2" customWidth="1"/>
    <col min="7510" max="7510" width="10.7109375" style="2" customWidth="1"/>
    <col min="7511" max="7511" width="10.140625" style="2" customWidth="1"/>
    <col min="7512" max="7512" width="10.28515625" style="2" customWidth="1"/>
    <col min="7513" max="7513" width="9" style="2" customWidth="1"/>
    <col min="7514" max="7514" width="11.140625" style="2" customWidth="1"/>
    <col min="7515" max="7515" width="10.28515625" style="2" customWidth="1"/>
    <col min="7516" max="7516" width="9.42578125" style="2" customWidth="1"/>
    <col min="7517" max="7517" width="10.42578125" style="2" customWidth="1"/>
    <col min="7518" max="7518" width="9.42578125" style="2" customWidth="1"/>
    <col min="7519" max="7519" width="9" style="2" customWidth="1"/>
    <col min="7520" max="7520" width="10.28515625" style="2" customWidth="1"/>
    <col min="7521" max="7521" width="8.42578125" style="2" customWidth="1"/>
    <col min="7522" max="7522" width="9.7109375" style="2" customWidth="1"/>
    <col min="7523" max="7523" width="8.7109375" style="2" customWidth="1"/>
    <col min="7524" max="7524" width="9.42578125" style="2" customWidth="1"/>
    <col min="7525" max="7525" width="10.85546875" style="2" customWidth="1"/>
    <col min="7526" max="7526" width="9.7109375" style="2" customWidth="1"/>
    <col min="7527" max="7527" width="11.42578125" style="2" customWidth="1"/>
    <col min="7528" max="7528" width="11" style="2" customWidth="1"/>
    <col min="7529" max="7529" width="9.42578125" style="2" customWidth="1"/>
    <col min="7530" max="7530" width="10.28515625" style="2" customWidth="1"/>
    <col min="7531" max="7531" width="10.42578125" style="2" customWidth="1"/>
    <col min="7532" max="7532" width="10.28515625" style="2" customWidth="1"/>
    <col min="7533" max="7534" width="9.140625" style="2" bestFit="1" customWidth="1"/>
    <col min="7535" max="7535" width="10" style="2" customWidth="1"/>
    <col min="7536" max="7536" width="9.140625" style="2" customWidth="1"/>
    <col min="7537" max="7537" width="9.85546875" style="2" customWidth="1"/>
    <col min="7538" max="7538" width="9.5703125" style="2" customWidth="1"/>
    <col min="7539" max="7539" width="10.85546875" style="2" customWidth="1"/>
    <col min="7540" max="7540" width="10.5703125" style="2" customWidth="1"/>
    <col min="7541" max="7541" width="10.28515625" style="2" customWidth="1"/>
    <col min="7542" max="7542" width="9.5703125" style="2" customWidth="1"/>
    <col min="7543" max="7543" width="9.28515625" style="2" customWidth="1"/>
    <col min="7544" max="7544" width="10.28515625" style="2" customWidth="1"/>
    <col min="7545" max="7545" width="10" style="2" customWidth="1"/>
    <col min="7546" max="7546" width="9" style="2" customWidth="1"/>
    <col min="7547" max="7547" width="10.42578125" style="2" customWidth="1"/>
    <col min="7548" max="7549" width="9.85546875" style="2" customWidth="1"/>
    <col min="7550" max="7550" width="10" style="2" customWidth="1"/>
    <col min="7551" max="7551" width="8.28515625" style="2" customWidth="1"/>
    <col min="7552" max="7552" width="9.85546875" style="2" customWidth="1"/>
    <col min="7553" max="7553" width="11.5703125" style="2" customWidth="1"/>
    <col min="7554" max="7554" width="9.140625" style="2" bestFit="1" customWidth="1"/>
    <col min="7555" max="7555" width="10" style="2" customWidth="1"/>
    <col min="7556" max="7556" width="8" style="2" customWidth="1"/>
    <col min="7557" max="7557" width="11.28515625" style="2" customWidth="1"/>
    <col min="7558" max="7560" width="10.140625" style="2" bestFit="1" customWidth="1"/>
    <col min="7561" max="7561" width="12.28515625" style="2" customWidth="1"/>
    <col min="7562" max="7563" width="5.7109375" style="2"/>
    <col min="7564" max="7564" width="10.28515625" style="2" bestFit="1" customWidth="1"/>
    <col min="7565" max="7570" width="5.7109375" style="2"/>
    <col min="7571" max="7571" width="22" style="2" customWidth="1"/>
    <col min="7572" max="7572" width="16" style="2" customWidth="1"/>
    <col min="7573" max="7573" width="7.140625" style="2" bestFit="1" customWidth="1"/>
    <col min="7574" max="7574" width="9.28515625" style="2" bestFit="1" customWidth="1"/>
    <col min="7575" max="7635" width="5.7109375" style="2"/>
    <col min="7636" max="7636" width="29.42578125" style="2" customWidth="1"/>
    <col min="7637" max="7637" width="4.7109375" style="2" customWidth="1"/>
    <col min="7638" max="7639" width="9.7109375" style="2" customWidth="1"/>
    <col min="7640" max="7640" width="9.42578125" style="2" customWidth="1"/>
    <col min="7641" max="7641" width="9.140625" style="2" customWidth="1"/>
    <col min="7642" max="7642" width="8.85546875" style="2" customWidth="1"/>
    <col min="7643" max="7643" width="9.7109375" style="2" customWidth="1"/>
    <col min="7644" max="7644" width="8.140625" style="2" customWidth="1"/>
    <col min="7645" max="7645" width="10.42578125" style="2" customWidth="1"/>
    <col min="7646" max="7646" width="9.140625" style="2" customWidth="1"/>
    <col min="7647" max="7647" width="9.85546875" style="2" customWidth="1"/>
    <col min="7648" max="7648" width="9.42578125" style="2" customWidth="1"/>
    <col min="7649" max="7649" width="9.5703125" style="2" customWidth="1"/>
    <col min="7650" max="7650" width="9.28515625" style="2" customWidth="1"/>
    <col min="7651" max="7651" width="9.140625" style="2" customWidth="1"/>
    <col min="7652" max="7652" width="9.28515625" style="2" bestFit="1" customWidth="1"/>
    <col min="7653" max="7653" width="10.5703125" style="2" customWidth="1"/>
    <col min="7654" max="7654" width="7.7109375" style="2" customWidth="1"/>
    <col min="7655" max="7655" width="9.140625" style="2" customWidth="1"/>
    <col min="7656" max="7656" width="7.85546875" style="2" customWidth="1"/>
    <col min="7657" max="7657" width="8.7109375" style="2" customWidth="1"/>
    <col min="7658" max="7658" width="9.42578125" style="2" customWidth="1"/>
    <col min="7659" max="7659" width="10.28515625" style="2" customWidth="1"/>
    <col min="7660" max="7660" width="9.85546875" style="2" customWidth="1"/>
    <col min="7661" max="7661" width="10.140625" style="2" customWidth="1"/>
    <col min="7662" max="7663" width="8.140625" style="2" customWidth="1"/>
    <col min="7664" max="7665" width="7.85546875" style="2" customWidth="1"/>
    <col min="7666" max="7666" width="9.140625" style="2" customWidth="1"/>
    <col min="7667" max="7667" width="9.7109375" style="2" customWidth="1"/>
    <col min="7668" max="7668" width="8.28515625" style="2" customWidth="1"/>
    <col min="7669" max="7669" width="9.140625" style="2" customWidth="1"/>
    <col min="7670" max="7670" width="10" style="2" customWidth="1"/>
    <col min="7671" max="7671" width="10.28515625" style="2" customWidth="1"/>
    <col min="7672" max="7672" width="9.85546875" style="2" customWidth="1"/>
    <col min="7673" max="7673" width="9.42578125" style="2" customWidth="1"/>
    <col min="7674" max="7674" width="9.7109375" style="2" customWidth="1"/>
    <col min="7675" max="7675" width="9.42578125" style="2" customWidth="1"/>
    <col min="7676" max="7676" width="9.28515625" style="2" customWidth="1"/>
    <col min="7677" max="7677" width="10.5703125" style="2" customWidth="1"/>
    <col min="7678" max="7679" width="8.85546875" style="2" customWidth="1"/>
    <col min="7680" max="7680" width="8.28515625" style="2" customWidth="1"/>
    <col min="7681" max="7681" width="8.85546875" style="2" customWidth="1"/>
    <col min="7682" max="7682" width="9.5703125" style="2" customWidth="1"/>
    <col min="7683" max="7683" width="8.42578125" style="2" customWidth="1"/>
    <col min="7684" max="7684" width="9.5703125" style="2" customWidth="1"/>
    <col min="7685" max="7685" width="8.28515625" style="2" customWidth="1"/>
    <col min="7686" max="7686" width="9.28515625" style="2" customWidth="1"/>
    <col min="7687" max="7687" width="9.85546875" style="2" customWidth="1"/>
    <col min="7688" max="7688" width="10.28515625" style="2" customWidth="1"/>
    <col min="7689" max="7689" width="10.42578125" style="2" customWidth="1"/>
    <col min="7690" max="7690" width="9.5703125" style="2" customWidth="1"/>
    <col min="7691" max="7691" width="10.140625" style="2" customWidth="1"/>
    <col min="7692" max="7692" width="9.5703125" style="2" customWidth="1"/>
    <col min="7693" max="7693" width="10.28515625" style="2" customWidth="1"/>
    <col min="7694" max="7694" width="10" style="2" customWidth="1"/>
    <col min="7695" max="7695" width="9.140625" style="2" customWidth="1"/>
    <col min="7696" max="7696" width="10.5703125" style="2" customWidth="1"/>
    <col min="7697" max="7697" width="9.28515625" style="2" customWidth="1"/>
    <col min="7698" max="7699" width="9.42578125" style="2" customWidth="1"/>
    <col min="7700" max="7700" width="9" style="2" customWidth="1"/>
    <col min="7701" max="7701" width="11" style="2" customWidth="1"/>
    <col min="7702" max="7702" width="9.28515625" style="2" customWidth="1"/>
    <col min="7703" max="7703" width="9.7109375" style="2" customWidth="1"/>
    <col min="7704" max="7704" width="10.85546875" style="2" customWidth="1"/>
    <col min="7705" max="7705" width="10.5703125" style="2" customWidth="1"/>
    <col min="7706" max="7706" width="10.28515625" style="2" customWidth="1"/>
    <col min="7707" max="7707" width="9.85546875" style="2" customWidth="1"/>
    <col min="7708" max="7708" width="10.28515625" style="2" customWidth="1"/>
    <col min="7709" max="7709" width="9" style="2" customWidth="1"/>
    <col min="7710" max="7710" width="9.85546875" style="2" customWidth="1"/>
    <col min="7711" max="7711" width="9.42578125" style="2" customWidth="1"/>
    <col min="7712" max="7712" width="9.140625" style="2" customWidth="1"/>
    <col min="7713" max="7713" width="11" style="2" customWidth="1"/>
    <col min="7714" max="7714" width="9.28515625" style="2" customWidth="1"/>
    <col min="7715" max="7715" width="9.5703125" style="2" customWidth="1"/>
    <col min="7716" max="7716" width="10.42578125" style="2" customWidth="1"/>
    <col min="7717" max="7717" width="9" style="2" customWidth="1"/>
    <col min="7718" max="7718" width="9.7109375" style="2" customWidth="1"/>
    <col min="7719" max="7719" width="10" style="2" customWidth="1"/>
    <col min="7720" max="7720" width="10.7109375" style="2" customWidth="1"/>
    <col min="7721" max="7721" width="9.42578125" style="2" customWidth="1"/>
    <col min="7722" max="7722" width="10.28515625" style="2" customWidth="1"/>
    <col min="7723" max="7723" width="9.5703125" style="2" customWidth="1"/>
    <col min="7724" max="7724" width="10" style="2" customWidth="1"/>
    <col min="7725" max="7725" width="9" style="2" customWidth="1"/>
    <col min="7726" max="7726" width="10.5703125" style="2" customWidth="1"/>
    <col min="7727" max="7727" width="11.28515625" style="2" customWidth="1"/>
    <col min="7728" max="7728" width="10.5703125" style="2" customWidth="1"/>
    <col min="7729" max="7729" width="9.7109375" style="2" customWidth="1"/>
    <col min="7730" max="7730" width="9.5703125" style="2" customWidth="1"/>
    <col min="7731" max="7731" width="10.5703125" style="2" customWidth="1"/>
    <col min="7732" max="7732" width="10.42578125" style="2" customWidth="1"/>
    <col min="7733" max="7733" width="9.85546875" style="2" customWidth="1"/>
    <col min="7734" max="7734" width="10.5703125" style="2" bestFit="1" customWidth="1"/>
    <col min="7735" max="7737" width="10.140625" style="2" bestFit="1" customWidth="1"/>
    <col min="7738" max="7738" width="8.85546875" style="2" customWidth="1"/>
    <col min="7739" max="7739" width="9.140625" style="2" bestFit="1" customWidth="1"/>
    <col min="7740" max="7741" width="10.140625" style="2" customWidth="1"/>
    <col min="7742" max="7742" width="10" style="2" customWidth="1"/>
    <col min="7743" max="7743" width="8.28515625" style="2" customWidth="1"/>
    <col min="7744" max="7744" width="9" style="2" customWidth="1"/>
    <col min="7745" max="7745" width="10.5703125" style="2" customWidth="1"/>
    <col min="7746" max="7746" width="10.140625" style="2" customWidth="1"/>
    <col min="7747" max="7747" width="9.7109375" style="2" customWidth="1"/>
    <col min="7748" max="7748" width="9.140625" style="2" customWidth="1"/>
    <col min="7749" max="7749" width="10.140625" style="2" customWidth="1"/>
    <col min="7750" max="7750" width="9" style="2" customWidth="1"/>
    <col min="7751" max="7751" width="9.28515625" style="2" customWidth="1"/>
    <col min="7752" max="7752" width="11" style="2" customWidth="1"/>
    <col min="7753" max="7753" width="10.140625" style="2" customWidth="1"/>
    <col min="7754" max="7754" width="10.7109375" style="2" customWidth="1"/>
    <col min="7755" max="7755" width="9.85546875" style="2" customWidth="1"/>
    <col min="7756" max="7756" width="11" style="2" customWidth="1"/>
    <col min="7757" max="7757" width="10" style="2" customWidth="1"/>
    <col min="7758" max="7758" width="9.140625" style="2" customWidth="1"/>
    <col min="7759" max="7759" width="10.28515625" style="2" customWidth="1"/>
    <col min="7760" max="7760" width="10.5703125" style="2" customWidth="1"/>
    <col min="7761" max="7761" width="9.85546875" style="2" customWidth="1"/>
    <col min="7762" max="7762" width="10.7109375" style="2" customWidth="1"/>
    <col min="7763" max="7763" width="9.42578125" style="2" customWidth="1"/>
    <col min="7764" max="7764" width="10.42578125" style="2" customWidth="1"/>
    <col min="7765" max="7765" width="9.85546875" style="2" customWidth="1"/>
    <col min="7766" max="7766" width="10.7109375" style="2" customWidth="1"/>
    <col min="7767" max="7767" width="10.140625" style="2" customWidth="1"/>
    <col min="7768" max="7768" width="10.28515625" style="2" customWidth="1"/>
    <col min="7769" max="7769" width="9" style="2" customWidth="1"/>
    <col min="7770" max="7770" width="11.140625" style="2" customWidth="1"/>
    <col min="7771" max="7771" width="10.28515625" style="2" customWidth="1"/>
    <col min="7772" max="7772" width="9.42578125" style="2" customWidth="1"/>
    <col min="7773" max="7773" width="10.42578125" style="2" customWidth="1"/>
    <col min="7774" max="7774" width="9.42578125" style="2" customWidth="1"/>
    <col min="7775" max="7775" width="9" style="2" customWidth="1"/>
    <col min="7776" max="7776" width="10.28515625" style="2" customWidth="1"/>
    <col min="7777" max="7777" width="8.42578125" style="2" customWidth="1"/>
    <col min="7778" max="7778" width="9.7109375" style="2" customWidth="1"/>
    <col min="7779" max="7779" width="8.7109375" style="2" customWidth="1"/>
    <col min="7780" max="7780" width="9.42578125" style="2" customWidth="1"/>
    <col min="7781" max="7781" width="10.85546875" style="2" customWidth="1"/>
    <col min="7782" max="7782" width="9.7109375" style="2" customWidth="1"/>
    <col min="7783" max="7783" width="11.42578125" style="2" customWidth="1"/>
    <col min="7784" max="7784" width="11" style="2" customWidth="1"/>
    <col min="7785" max="7785" width="9.42578125" style="2" customWidth="1"/>
    <col min="7786" max="7786" width="10.28515625" style="2" customWidth="1"/>
    <col min="7787" max="7787" width="10.42578125" style="2" customWidth="1"/>
    <col min="7788" max="7788" width="10.28515625" style="2" customWidth="1"/>
    <col min="7789" max="7790" width="9.140625" style="2" bestFit="1" customWidth="1"/>
    <col min="7791" max="7791" width="10" style="2" customWidth="1"/>
    <col min="7792" max="7792" width="9.140625" style="2" customWidth="1"/>
    <col min="7793" max="7793" width="9.85546875" style="2" customWidth="1"/>
    <col min="7794" max="7794" width="9.5703125" style="2" customWidth="1"/>
    <col min="7795" max="7795" width="10.85546875" style="2" customWidth="1"/>
    <col min="7796" max="7796" width="10.5703125" style="2" customWidth="1"/>
    <col min="7797" max="7797" width="10.28515625" style="2" customWidth="1"/>
    <col min="7798" max="7798" width="9.5703125" style="2" customWidth="1"/>
    <col min="7799" max="7799" width="9.28515625" style="2" customWidth="1"/>
    <col min="7800" max="7800" width="10.28515625" style="2" customWidth="1"/>
    <col min="7801" max="7801" width="10" style="2" customWidth="1"/>
    <col min="7802" max="7802" width="9" style="2" customWidth="1"/>
    <col min="7803" max="7803" width="10.42578125" style="2" customWidth="1"/>
    <col min="7804" max="7805" width="9.85546875" style="2" customWidth="1"/>
    <col min="7806" max="7806" width="10" style="2" customWidth="1"/>
    <col min="7807" max="7807" width="8.28515625" style="2" customWidth="1"/>
    <col min="7808" max="7808" width="9.85546875" style="2" customWidth="1"/>
    <col min="7809" max="7809" width="11.5703125" style="2" customWidth="1"/>
    <col min="7810" max="7810" width="9.140625" style="2" bestFit="1" customWidth="1"/>
    <col min="7811" max="7811" width="10" style="2" customWidth="1"/>
    <col min="7812" max="7812" width="8" style="2" customWidth="1"/>
    <col min="7813" max="7813" width="11.28515625" style="2" customWidth="1"/>
    <col min="7814" max="7816" width="10.140625" style="2" bestFit="1" customWidth="1"/>
    <col min="7817" max="7817" width="12.28515625" style="2" customWidth="1"/>
    <col min="7818" max="7819" width="5.7109375" style="2"/>
    <col min="7820" max="7820" width="10.28515625" style="2" bestFit="1" customWidth="1"/>
    <col min="7821" max="7826" width="5.7109375" style="2"/>
    <col min="7827" max="7827" width="22" style="2" customWidth="1"/>
    <col min="7828" max="7828" width="16" style="2" customWidth="1"/>
    <col min="7829" max="7829" width="7.140625" style="2" bestFit="1" customWidth="1"/>
    <col min="7830" max="7830" width="9.28515625" style="2" bestFit="1" customWidth="1"/>
    <col min="7831" max="7891" width="5.7109375" style="2"/>
    <col min="7892" max="7892" width="29.42578125" style="2" customWidth="1"/>
    <col min="7893" max="7893" width="4.7109375" style="2" customWidth="1"/>
    <col min="7894" max="7895" width="9.7109375" style="2" customWidth="1"/>
    <col min="7896" max="7896" width="9.42578125" style="2" customWidth="1"/>
    <col min="7897" max="7897" width="9.140625" style="2" customWidth="1"/>
    <col min="7898" max="7898" width="8.85546875" style="2" customWidth="1"/>
    <col min="7899" max="7899" width="9.7109375" style="2" customWidth="1"/>
    <col min="7900" max="7900" width="8.140625" style="2" customWidth="1"/>
    <col min="7901" max="7901" width="10.42578125" style="2" customWidth="1"/>
    <col min="7902" max="7902" width="9.140625" style="2" customWidth="1"/>
    <col min="7903" max="7903" width="9.85546875" style="2" customWidth="1"/>
    <col min="7904" max="7904" width="9.42578125" style="2" customWidth="1"/>
    <col min="7905" max="7905" width="9.5703125" style="2" customWidth="1"/>
    <col min="7906" max="7906" width="9.28515625" style="2" customWidth="1"/>
    <col min="7907" max="7907" width="9.140625" style="2" customWidth="1"/>
    <col min="7908" max="7908" width="9.28515625" style="2" bestFit="1" customWidth="1"/>
    <col min="7909" max="7909" width="10.5703125" style="2" customWidth="1"/>
    <col min="7910" max="7910" width="7.7109375" style="2" customWidth="1"/>
    <col min="7911" max="7911" width="9.140625" style="2" customWidth="1"/>
    <col min="7912" max="7912" width="7.85546875" style="2" customWidth="1"/>
    <col min="7913" max="7913" width="8.7109375" style="2" customWidth="1"/>
    <col min="7914" max="7914" width="9.42578125" style="2" customWidth="1"/>
    <col min="7915" max="7915" width="10.28515625" style="2" customWidth="1"/>
    <col min="7916" max="7916" width="9.85546875" style="2" customWidth="1"/>
    <col min="7917" max="7917" width="10.140625" style="2" customWidth="1"/>
    <col min="7918" max="7919" width="8.140625" style="2" customWidth="1"/>
    <col min="7920" max="7921" width="7.85546875" style="2" customWidth="1"/>
    <col min="7922" max="7922" width="9.140625" style="2" customWidth="1"/>
    <col min="7923" max="7923" width="9.7109375" style="2" customWidth="1"/>
    <col min="7924" max="7924" width="8.28515625" style="2" customWidth="1"/>
    <col min="7925" max="7925" width="9.140625" style="2" customWidth="1"/>
    <col min="7926" max="7926" width="10" style="2" customWidth="1"/>
    <col min="7927" max="7927" width="10.28515625" style="2" customWidth="1"/>
    <col min="7928" max="7928" width="9.85546875" style="2" customWidth="1"/>
    <col min="7929" max="7929" width="9.42578125" style="2" customWidth="1"/>
    <col min="7930" max="7930" width="9.7109375" style="2" customWidth="1"/>
    <col min="7931" max="7931" width="9.42578125" style="2" customWidth="1"/>
    <col min="7932" max="7932" width="9.28515625" style="2" customWidth="1"/>
    <col min="7933" max="7933" width="10.5703125" style="2" customWidth="1"/>
    <col min="7934" max="7935" width="8.85546875" style="2" customWidth="1"/>
    <col min="7936" max="7936" width="8.28515625" style="2" customWidth="1"/>
    <col min="7937" max="7937" width="8.85546875" style="2" customWidth="1"/>
    <col min="7938" max="7938" width="9.5703125" style="2" customWidth="1"/>
    <col min="7939" max="7939" width="8.42578125" style="2" customWidth="1"/>
    <col min="7940" max="7940" width="9.5703125" style="2" customWidth="1"/>
    <col min="7941" max="7941" width="8.28515625" style="2" customWidth="1"/>
    <col min="7942" max="7942" width="9.28515625" style="2" customWidth="1"/>
    <col min="7943" max="7943" width="9.85546875" style="2" customWidth="1"/>
    <col min="7944" max="7944" width="10.28515625" style="2" customWidth="1"/>
    <col min="7945" max="7945" width="10.42578125" style="2" customWidth="1"/>
    <col min="7946" max="7946" width="9.5703125" style="2" customWidth="1"/>
    <col min="7947" max="7947" width="10.140625" style="2" customWidth="1"/>
    <col min="7948" max="7948" width="9.5703125" style="2" customWidth="1"/>
    <col min="7949" max="7949" width="10.28515625" style="2" customWidth="1"/>
    <col min="7950" max="7950" width="10" style="2" customWidth="1"/>
    <col min="7951" max="7951" width="9.140625" style="2" customWidth="1"/>
    <col min="7952" max="7952" width="10.5703125" style="2" customWidth="1"/>
    <col min="7953" max="7953" width="9.28515625" style="2" customWidth="1"/>
    <col min="7954" max="7955" width="9.42578125" style="2" customWidth="1"/>
    <col min="7956" max="7956" width="9" style="2" customWidth="1"/>
    <col min="7957" max="7957" width="11" style="2" customWidth="1"/>
    <col min="7958" max="7958" width="9.28515625" style="2" customWidth="1"/>
    <col min="7959" max="7959" width="9.7109375" style="2" customWidth="1"/>
    <col min="7960" max="7960" width="10.85546875" style="2" customWidth="1"/>
    <col min="7961" max="7961" width="10.5703125" style="2" customWidth="1"/>
    <col min="7962" max="7962" width="10.28515625" style="2" customWidth="1"/>
    <col min="7963" max="7963" width="9.85546875" style="2" customWidth="1"/>
    <col min="7964" max="7964" width="10.28515625" style="2" customWidth="1"/>
    <col min="7965" max="7965" width="9" style="2" customWidth="1"/>
    <col min="7966" max="7966" width="9.85546875" style="2" customWidth="1"/>
    <col min="7967" max="7967" width="9.42578125" style="2" customWidth="1"/>
    <col min="7968" max="7968" width="9.140625" style="2" customWidth="1"/>
    <col min="7969" max="7969" width="11" style="2" customWidth="1"/>
    <col min="7970" max="7970" width="9.28515625" style="2" customWidth="1"/>
    <col min="7971" max="7971" width="9.5703125" style="2" customWidth="1"/>
    <col min="7972" max="7972" width="10.42578125" style="2" customWidth="1"/>
    <col min="7973" max="7973" width="9" style="2" customWidth="1"/>
    <col min="7974" max="7974" width="9.7109375" style="2" customWidth="1"/>
    <col min="7975" max="7975" width="10" style="2" customWidth="1"/>
    <col min="7976" max="7976" width="10.7109375" style="2" customWidth="1"/>
    <col min="7977" max="7977" width="9.42578125" style="2" customWidth="1"/>
    <col min="7978" max="7978" width="10.28515625" style="2" customWidth="1"/>
    <col min="7979" max="7979" width="9.5703125" style="2" customWidth="1"/>
    <col min="7980" max="7980" width="10" style="2" customWidth="1"/>
    <col min="7981" max="7981" width="9" style="2" customWidth="1"/>
    <col min="7982" max="7982" width="10.5703125" style="2" customWidth="1"/>
    <col min="7983" max="7983" width="11.28515625" style="2" customWidth="1"/>
    <col min="7984" max="7984" width="10.5703125" style="2" customWidth="1"/>
    <col min="7985" max="7985" width="9.7109375" style="2" customWidth="1"/>
    <col min="7986" max="7986" width="9.5703125" style="2" customWidth="1"/>
    <col min="7987" max="7987" width="10.5703125" style="2" customWidth="1"/>
    <col min="7988" max="7988" width="10.42578125" style="2" customWidth="1"/>
    <col min="7989" max="7989" width="9.85546875" style="2" customWidth="1"/>
    <col min="7990" max="7990" width="10.5703125" style="2" bestFit="1" customWidth="1"/>
    <col min="7991" max="7993" width="10.140625" style="2" bestFit="1" customWidth="1"/>
    <col min="7994" max="7994" width="8.85546875" style="2" customWidth="1"/>
    <col min="7995" max="7995" width="9.140625" style="2" bestFit="1" customWidth="1"/>
    <col min="7996" max="7997" width="10.140625" style="2" customWidth="1"/>
    <col min="7998" max="7998" width="10" style="2" customWidth="1"/>
    <col min="7999" max="7999" width="8.28515625" style="2" customWidth="1"/>
    <col min="8000" max="8000" width="9" style="2" customWidth="1"/>
    <col min="8001" max="8001" width="10.5703125" style="2" customWidth="1"/>
    <col min="8002" max="8002" width="10.140625" style="2" customWidth="1"/>
    <col min="8003" max="8003" width="9.7109375" style="2" customWidth="1"/>
    <col min="8004" max="8004" width="9.140625" style="2" customWidth="1"/>
    <col min="8005" max="8005" width="10.140625" style="2" customWidth="1"/>
    <col min="8006" max="8006" width="9" style="2" customWidth="1"/>
    <col min="8007" max="8007" width="9.28515625" style="2" customWidth="1"/>
    <col min="8008" max="8008" width="11" style="2" customWidth="1"/>
    <col min="8009" max="8009" width="10.140625" style="2" customWidth="1"/>
    <col min="8010" max="8010" width="10.7109375" style="2" customWidth="1"/>
    <col min="8011" max="8011" width="9.85546875" style="2" customWidth="1"/>
    <col min="8012" max="8012" width="11" style="2" customWidth="1"/>
    <col min="8013" max="8013" width="10" style="2" customWidth="1"/>
    <col min="8014" max="8014" width="9.140625" style="2" customWidth="1"/>
    <col min="8015" max="8015" width="10.28515625" style="2" customWidth="1"/>
    <col min="8016" max="8016" width="10.5703125" style="2" customWidth="1"/>
    <col min="8017" max="8017" width="9.85546875" style="2" customWidth="1"/>
    <col min="8018" max="8018" width="10.7109375" style="2" customWidth="1"/>
    <col min="8019" max="8019" width="9.42578125" style="2" customWidth="1"/>
    <col min="8020" max="8020" width="10.42578125" style="2" customWidth="1"/>
    <col min="8021" max="8021" width="9.85546875" style="2" customWidth="1"/>
    <col min="8022" max="8022" width="10.7109375" style="2" customWidth="1"/>
    <col min="8023" max="8023" width="10.140625" style="2" customWidth="1"/>
    <col min="8024" max="8024" width="10.28515625" style="2" customWidth="1"/>
    <col min="8025" max="8025" width="9" style="2" customWidth="1"/>
    <col min="8026" max="8026" width="11.140625" style="2" customWidth="1"/>
    <col min="8027" max="8027" width="10.28515625" style="2" customWidth="1"/>
    <col min="8028" max="8028" width="9.42578125" style="2" customWidth="1"/>
    <col min="8029" max="8029" width="10.42578125" style="2" customWidth="1"/>
    <col min="8030" max="8030" width="9.42578125" style="2" customWidth="1"/>
    <col min="8031" max="8031" width="9" style="2" customWidth="1"/>
    <col min="8032" max="8032" width="10.28515625" style="2" customWidth="1"/>
    <col min="8033" max="8033" width="8.42578125" style="2" customWidth="1"/>
    <col min="8034" max="8034" width="9.7109375" style="2" customWidth="1"/>
    <col min="8035" max="8035" width="8.7109375" style="2" customWidth="1"/>
    <col min="8036" max="8036" width="9.42578125" style="2" customWidth="1"/>
    <col min="8037" max="8037" width="10.85546875" style="2" customWidth="1"/>
    <col min="8038" max="8038" width="9.7109375" style="2" customWidth="1"/>
    <col min="8039" max="8039" width="11.42578125" style="2" customWidth="1"/>
    <col min="8040" max="8040" width="11" style="2" customWidth="1"/>
    <col min="8041" max="8041" width="9.42578125" style="2" customWidth="1"/>
    <col min="8042" max="8042" width="10.28515625" style="2" customWidth="1"/>
    <col min="8043" max="8043" width="10.42578125" style="2" customWidth="1"/>
    <col min="8044" max="8044" width="10.28515625" style="2" customWidth="1"/>
    <col min="8045" max="8046" width="9.140625" style="2" bestFit="1" customWidth="1"/>
    <col min="8047" max="8047" width="10" style="2" customWidth="1"/>
    <col min="8048" max="8048" width="9.140625" style="2" customWidth="1"/>
    <col min="8049" max="8049" width="9.85546875" style="2" customWidth="1"/>
    <col min="8050" max="8050" width="9.5703125" style="2" customWidth="1"/>
    <col min="8051" max="8051" width="10.85546875" style="2" customWidth="1"/>
    <col min="8052" max="8052" width="10.5703125" style="2" customWidth="1"/>
    <col min="8053" max="8053" width="10.28515625" style="2" customWidth="1"/>
    <col min="8054" max="8054" width="9.5703125" style="2" customWidth="1"/>
    <col min="8055" max="8055" width="9.28515625" style="2" customWidth="1"/>
    <col min="8056" max="8056" width="10.28515625" style="2" customWidth="1"/>
    <col min="8057" max="8057" width="10" style="2" customWidth="1"/>
    <col min="8058" max="8058" width="9" style="2" customWidth="1"/>
    <col min="8059" max="8059" width="10.42578125" style="2" customWidth="1"/>
    <col min="8060" max="8061" width="9.85546875" style="2" customWidth="1"/>
    <col min="8062" max="8062" width="10" style="2" customWidth="1"/>
    <col min="8063" max="8063" width="8.28515625" style="2" customWidth="1"/>
    <col min="8064" max="8064" width="9.85546875" style="2" customWidth="1"/>
    <col min="8065" max="8065" width="11.5703125" style="2" customWidth="1"/>
    <col min="8066" max="8066" width="9.140625" style="2" bestFit="1" customWidth="1"/>
    <col min="8067" max="8067" width="10" style="2" customWidth="1"/>
    <col min="8068" max="8068" width="8" style="2" customWidth="1"/>
    <col min="8069" max="8069" width="11.28515625" style="2" customWidth="1"/>
    <col min="8070" max="8072" width="10.140625" style="2" bestFit="1" customWidth="1"/>
    <col min="8073" max="8073" width="12.28515625" style="2" customWidth="1"/>
    <col min="8074" max="8075" width="5.7109375" style="2"/>
    <col min="8076" max="8076" width="10.28515625" style="2" bestFit="1" customWidth="1"/>
    <col min="8077" max="8082" width="5.7109375" style="2"/>
    <col min="8083" max="8083" width="22" style="2" customWidth="1"/>
    <col min="8084" max="8084" width="16" style="2" customWidth="1"/>
    <col min="8085" max="8085" width="7.140625" style="2" bestFit="1" customWidth="1"/>
    <col min="8086" max="8086" width="9.28515625" style="2" bestFit="1" customWidth="1"/>
    <col min="8087" max="8147" width="5.7109375" style="2"/>
    <col min="8148" max="8148" width="29.42578125" style="2" customWidth="1"/>
    <col min="8149" max="8149" width="4.7109375" style="2" customWidth="1"/>
    <col min="8150" max="8151" width="9.7109375" style="2" customWidth="1"/>
    <col min="8152" max="8152" width="9.42578125" style="2" customWidth="1"/>
    <col min="8153" max="8153" width="9.140625" style="2" customWidth="1"/>
    <col min="8154" max="8154" width="8.85546875" style="2" customWidth="1"/>
    <col min="8155" max="8155" width="9.7109375" style="2" customWidth="1"/>
    <col min="8156" max="8156" width="8.140625" style="2" customWidth="1"/>
    <col min="8157" max="8157" width="10.42578125" style="2" customWidth="1"/>
    <col min="8158" max="8158" width="9.140625" style="2" customWidth="1"/>
    <col min="8159" max="8159" width="9.85546875" style="2" customWidth="1"/>
    <col min="8160" max="8160" width="9.42578125" style="2" customWidth="1"/>
    <col min="8161" max="8161" width="9.5703125" style="2" customWidth="1"/>
    <col min="8162" max="8162" width="9.28515625" style="2" customWidth="1"/>
    <col min="8163" max="8163" width="9.140625" style="2" customWidth="1"/>
    <col min="8164" max="8164" width="9.28515625" style="2" bestFit="1" customWidth="1"/>
    <col min="8165" max="8165" width="10.5703125" style="2" customWidth="1"/>
    <col min="8166" max="8166" width="7.7109375" style="2" customWidth="1"/>
    <col min="8167" max="8167" width="9.140625" style="2" customWidth="1"/>
    <col min="8168" max="8168" width="7.85546875" style="2" customWidth="1"/>
    <col min="8169" max="8169" width="8.7109375" style="2" customWidth="1"/>
    <col min="8170" max="8170" width="9.42578125" style="2" customWidth="1"/>
    <col min="8171" max="8171" width="10.28515625" style="2" customWidth="1"/>
    <col min="8172" max="8172" width="9.85546875" style="2" customWidth="1"/>
    <col min="8173" max="8173" width="10.140625" style="2" customWidth="1"/>
    <col min="8174" max="8175" width="8.140625" style="2" customWidth="1"/>
    <col min="8176" max="8177" width="7.85546875" style="2" customWidth="1"/>
    <col min="8178" max="8178" width="9.140625" style="2" customWidth="1"/>
    <col min="8179" max="8179" width="9.7109375" style="2" customWidth="1"/>
    <col min="8180" max="8180" width="8.28515625" style="2" customWidth="1"/>
    <col min="8181" max="8181" width="9.140625" style="2" customWidth="1"/>
    <col min="8182" max="8182" width="10" style="2" customWidth="1"/>
    <col min="8183" max="8183" width="10.28515625" style="2" customWidth="1"/>
    <col min="8184" max="8184" width="9.85546875" style="2" customWidth="1"/>
    <col min="8185" max="8185" width="9.42578125" style="2" customWidth="1"/>
    <col min="8186" max="8186" width="9.7109375" style="2" customWidth="1"/>
    <col min="8187" max="8187" width="9.42578125" style="2" customWidth="1"/>
    <col min="8188" max="8188" width="9.28515625" style="2" customWidth="1"/>
    <col min="8189" max="8189" width="10.5703125" style="2" customWidth="1"/>
    <col min="8190" max="8191" width="8.85546875" style="2" customWidth="1"/>
    <col min="8192" max="8192" width="8.28515625" style="2" customWidth="1"/>
    <col min="8193" max="8193" width="8.85546875" style="2" customWidth="1"/>
    <col min="8194" max="8194" width="9.5703125" style="2" customWidth="1"/>
    <col min="8195" max="8195" width="8.42578125" style="2" customWidth="1"/>
    <col min="8196" max="8196" width="9.5703125" style="2" customWidth="1"/>
    <col min="8197" max="8197" width="8.28515625" style="2" customWidth="1"/>
    <col min="8198" max="8198" width="9.28515625" style="2" customWidth="1"/>
    <col min="8199" max="8199" width="9.85546875" style="2" customWidth="1"/>
    <col min="8200" max="8200" width="10.28515625" style="2" customWidth="1"/>
    <col min="8201" max="8201" width="10.42578125" style="2" customWidth="1"/>
    <col min="8202" max="8202" width="9.5703125" style="2" customWidth="1"/>
    <col min="8203" max="8203" width="10.140625" style="2" customWidth="1"/>
    <col min="8204" max="8204" width="9.5703125" style="2" customWidth="1"/>
    <col min="8205" max="8205" width="10.28515625" style="2" customWidth="1"/>
    <col min="8206" max="8206" width="10" style="2" customWidth="1"/>
    <col min="8207" max="8207" width="9.140625" style="2" customWidth="1"/>
    <col min="8208" max="8208" width="10.5703125" style="2" customWidth="1"/>
    <col min="8209" max="8209" width="9.28515625" style="2" customWidth="1"/>
    <col min="8210" max="8211" width="9.42578125" style="2" customWidth="1"/>
    <col min="8212" max="8212" width="9" style="2" customWidth="1"/>
    <col min="8213" max="8213" width="11" style="2" customWidth="1"/>
    <col min="8214" max="8214" width="9.28515625" style="2" customWidth="1"/>
    <col min="8215" max="8215" width="9.7109375" style="2" customWidth="1"/>
    <col min="8216" max="8216" width="10.85546875" style="2" customWidth="1"/>
    <col min="8217" max="8217" width="10.5703125" style="2" customWidth="1"/>
    <col min="8218" max="8218" width="10.28515625" style="2" customWidth="1"/>
    <col min="8219" max="8219" width="9.85546875" style="2" customWidth="1"/>
    <col min="8220" max="8220" width="10.28515625" style="2" customWidth="1"/>
    <col min="8221" max="8221" width="9" style="2" customWidth="1"/>
    <col min="8222" max="8222" width="9.85546875" style="2" customWidth="1"/>
    <col min="8223" max="8223" width="9.42578125" style="2" customWidth="1"/>
    <col min="8224" max="8224" width="9.140625" style="2" customWidth="1"/>
    <col min="8225" max="8225" width="11" style="2" customWidth="1"/>
    <col min="8226" max="8226" width="9.28515625" style="2" customWidth="1"/>
    <col min="8227" max="8227" width="9.5703125" style="2" customWidth="1"/>
    <col min="8228" max="8228" width="10.42578125" style="2" customWidth="1"/>
    <col min="8229" max="8229" width="9" style="2" customWidth="1"/>
    <col min="8230" max="8230" width="9.7109375" style="2" customWidth="1"/>
    <col min="8231" max="8231" width="10" style="2" customWidth="1"/>
    <col min="8232" max="8232" width="10.7109375" style="2" customWidth="1"/>
    <col min="8233" max="8233" width="9.42578125" style="2" customWidth="1"/>
    <col min="8234" max="8234" width="10.28515625" style="2" customWidth="1"/>
    <col min="8235" max="8235" width="9.5703125" style="2" customWidth="1"/>
    <col min="8236" max="8236" width="10" style="2" customWidth="1"/>
    <col min="8237" max="8237" width="9" style="2" customWidth="1"/>
    <col min="8238" max="8238" width="10.5703125" style="2" customWidth="1"/>
    <col min="8239" max="8239" width="11.28515625" style="2" customWidth="1"/>
    <col min="8240" max="8240" width="10.5703125" style="2" customWidth="1"/>
    <col min="8241" max="8241" width="9.7109375" style="2" customWidth="1"/>
    <col min="8242" max="8242" width="9.5703125" style="2" customWidth="1"/>
    <col min="8243" max="8243" width="10.5703125" style="2" customWidth="1"/>
    <col min="8244" max="8244" width="10.42578125" style="2" customWidth="1"/>
    <col min="8245" max="8245" width="9.85546875" style="2" customWidth="1"/>
    <col min="8246" max="8246" width="10.5703125" style="2" bestFit="1" customWidth="1"/>
    <col min="8247" max="8249" width="10.140625" style="2" bestFit="1" customWidth="1"/>
    <col min="8250" max="8250" width="8.85546875" style="2" customWidth="1"/>
    <col min="8251" max="8251" width="9.140625" style="2" bestFit="1" customWidth="1"/>
    <col min="8252" max="8253" width="10.140625" style="2" customWidth="1"/>
    <col min="8254" max="8254" width="10" style="2" customWidth="1"/>
    <col min="8255" max="8255" width="8.28515625" style="2" customWidth="1"/>
    <col min="8256" max="8256" width="9" style="2" customWidth="1"/>
    <col min="8257" max="8257" width="10.5703125" style="2" customWidth="1"/>
    <col min="8258" max="8258" width="10.140625" style="2" customWidth="1"/>
    <col min="8259" max="8259" width="9.7109375" style="2" customWidth="1"/>
    <col min="8260" max="8260" width="9.140625" style="2" customWidth="1"/>
    <col min="8261" max="8261" width="10.140625" style="2" customWidth="1"/>
    <col min="8262" max="8262" width="9" style="2" customWidth="1"/>
    <col min="8263" max="8263" width="9.28515625" style="2" customWidth="1"/>
    <col min="8264" max="8264" width="11" style="2" customWidth="1"/>
    <col min="8265" max="8265" width="10.140625" style="2" customWidth="1"/>
    <col min="8266" max="8266" width="10.7109375" style="2" customWidth="1"/>
    <col min="8267" max="8267" width="9.85546875" style="2" customWidth="1"/>
    <col min="8268" max="8268" width="11" style="2" customWidth="1"/>
    <col min="8269" max="8269" width="10" style="2" customWidth="1"/>
    <col min="8270" max="8270" width="9.140625" style="2" customWidth="1"/>
    <col min="8271" max="8271" width="10.28515625" style="2" customWidth="1"/>
    <col min="8272" max="8272" width="10.5703125" style="2" customWidth="1"/>
    <col min="8273" max="8273" width="9.85546875" style="2" customWidth="1"/>
    <col min="8274" max="8274" width="10.7109375" style="2" customWidth="1"/>
    <col min="8275" max="8275" width="9.42578125" style="2" customWidth="1"/>
    <col min="8276" max="8276" width="10.42578125" style="2" customWidth="1"/>
    <col min="8277" max="8277" width="9.85546875" style="2" customWidth="1"/>
    <col min="8278" max="8278" width="10.7109375" style="2" customWidth="1"/>
    <col min="8279" max="8279" width="10.140625" style="2" customWidth="1"/>
    <col min="8280" max="8280" width="10.28515625" style="2" customWidth="1"/>
    <col min="8281" max="8281" width="9" style="2" customWidth="1"/>
    <col min="8282" max="8282" width="11.140625" style="2" customWidth="1"/>
    <col min="8283" max="8283" width="10.28515625" style="2" customWidth="1"/>
    <col min="8284" max="8284" width="9.42578125" style="2" customWidth="1"/>
    <col min="8285" max="8285" width="10.42578125" style="2" customWidth="1"/>
    <col min="8286" max="8286" width="9.42578125" style="2" customWidth="1"/>
    <col min="8287" max="8287" width="9" style="2" customWidth="1"/>
    <col min="8288" max="8288" width="10.28515625" style="2" customWidth="1"/>
    <col min="8289" max="8289" width="8.42578125" style="2" customWidth="1"/>
    <col min="8290" max="8290" width="9.7109375" style="2" customWidth="1"/>
    <col min="8291" max="8291" width="8.7109375" style="2" customWidth="1"/>
    <col min="8292" max="8292" width="9.42578125" style="2" customWidth="1"/>
    <col min="8293" max="8293" width="10.85546875" style="2" customWidth="1"/>
    <col min="8294" max="8294" width="9.7109375" style="2" customWidth="1"/>
    <col min="8295" max="8295" width="11.42578125" style="2" customWidth="1"/>
    <col min="8296" max="8296" width="11" style="2" customWidth="1"/>
    <col min="8297" max="8297" width="9.42578125" style="2" customWidth="1"/>
    <col min="8298" max="8298" width="10.28515625" style="2" customWidth="1"/>
    <col min="8299" max="8299" width="10.42578125" style="2" customWidth="1"/>
    <col min="8300" max="8300" width="10.28515625" style="2" customWidth="1"/>
    <col min="8301" max="8302" width="9.140625" style="2" bestFit="1" customWidth="1"/>
    <col min="8303" max="8303" width="10" style="2" customWidth="1"/>
    <col min="8304" max="8304" width="9.140625" style="2" customWidth="1"/>
    <col min="8305" max="8305" width="9.85546875" style="2" customWidth="1"/>
    <col min="8306" max="8306" width="9.5703125" style="2" customWidth="1"/>
    <col min="8307" max="8307" width="10.85546875" style="2" customWidth="1"/>
    <col min="8308" max="8308" width="10.5703125" style="2" customWidth="1"/>
    <col min="8309" max="8309" width="10.28515625" style="2" customWidth="1"/>
    <col min="8310" max="8310" width="9.5703125" style="2" customWidth="1"/>
    <col min="8311" max="8311" width="9.28515625" style="2" customWidth="1"/>
    <col min="8312" max="8312" width="10.28515625" style="2" customWidth="1"/>
    <col min="8313" max="8313" width="10" style="2" customWidth="1"/>
    <col min="8314" max="8314" width="9" style="2" customWidth="1"/>
    <col min="8315" max="8315" width="10.42578125" style="2" customWidth="1"/>
    <col min="8316" max="8317" width="9.85546875" style="2" customWidth="1"/>
    <col min="8318" max="8318" width="10" style="2" customWidth="1"/>
    <col min="8319" max="8319" width="8.28515625" style="2" customWidth="1"/>
    <col min="8320" max="8320" width="9.85546875" style="2" customWidth="1"/>
    <col min="8321" max="8321" width="11.5703125" style="2" customWidth="1"/>
    <col min="8322" max="8322" width="9.140625" style="2" bestFit="1" customWidth="1"/>
    <col min="8323" max="8323" width="10" style="2" customWidth="1"/>
    <col min="8324" max="8324" width="8" style="2" customWidth="1"/>
    <col min="8325" max="8325" width="11.28515625" style="2" customWidth="1"/>
    <col min="8326" max="8328" width="10.140625" style="2" bestFit="1" customWidth="1"/>
    <col min="8329" max="8329" width="12.28515625" style="2" customWidth="1"/>
    <col min="8330" max="8331" width="5.7109375" style="2"/>
    <col min="8332" max="8332" width="10.28515625" style="2" bestFit="1" customWidth="1"/>
    <col min="8333" max="8338" width="5.7109375" style="2"/>
    <col min="8339" max="8339" width="22" style="2" customWidth="1"/>
    <col min="8340" max="8340" width="16" style="2" customWidth="1"/>
    <col min="8341" max="8341" width="7.140625" style="2" bestFit="1" customWidth="1"/>
    <col min="8342" max="8342" width="9.28515625" style="2" bestFit="1" customWidth="1"/>
    <col min="8343" max="8403" width="5.7109375" style="2"/>
    <col min="8404" max="8404" width="29.42578125" style="2" customWidth="1"/>
    <col min="8405" max="8405" width="4.7109375" style="2" customWidth="1"/>
    <col min="8406" max="8407" width="9.7109375" style="2" customWidth="1"/>
    <col min="8408" max="8408" width="9.42578125" style="2" customWidth="1"/>
    <col min="8409" max="8409" width="9.140625" style="2" customWidth="1"/>
    <col min="8410" max="8410" width="8.85546875" style="2" customWidth="1"/>
    <col min="8411" max="8411" width="9.7109375" style="2" customWidth="1"/>
    <col min="8412" max="8412" width="8.140625" style="2" customWidth="1"/>
    <col min="8413" max="8413" width="10.42578125" style="2" customWidth="1"/>
    <col min="8414" max="8414" width="9.140625" style="2" customWidth="1"/>
    <col min="8415" max="8415" width="9.85546875" style="2" customWidth="1"/>
    <col min="8416" max="8416" width="9.42578125" style="2" customWidth="1"/>
    <col min="8417" max="8417" width="9.5703125" style="2" customWidth="1"/>
    <col min="8418" max="8418" width="9.28515625" style="2" customWidth="1"/>
    <col min="8419" max="8419" width="9.140625" style="2" customWidth="1"/>
    <col min="8420" max="8420" width="9.28515625" style="2" bestFit="1" customWidth="1"/>
    <col min="8421" max="8421" width="10.5703125" style="2" customWidth="1"/>
    <col min="8422" max="8422" width="7.7109375" style="2" customWidth="1"/>
    <col min="8423" max="8423" width="9.140625" style="2" customWidth="1"/>
    <col min="8424" max="8424" width="7.85546875" style="2" customWidth="1"/>
    <col min="8425" max="8425" width="8.7109375" style="2" customWidth="1"/>
    <col min="8426" max="8426" width="9.42578125" style="2" customWidth="1"/>
    <col min="8427" max="8427" width="10.28515625" style="2" customWidth="1"/>
    <col min="8428" max="8428" width="9.85546875" style="2" customWidth="1"/>
    <col min="8429" max="8429" width="10.140625" style="2" customWidth="1"/>
    <col min="8430" max="8431" width="8.140625" style="2" customWidth="1"/>
    <col min="8432" max="8433" width="7.85546875" style="2" customWidth="1"/>
    <col min="8434" max="8434" width="9.140625" style="2" customWidth="1"/>
    <col min="8435" max="8435" width="9.7109375" style="2" customWidth="1"/>
    <col min="8436" max="8436" width="8.28515625" style="2" customWidth="1"/>
    <col min="8437" max="8437" width="9.140625" style="2" customWidth="1"/>
    <col min="8438" max="8438" width="10" style="2" customWidth="1"/>
    <col min="8439" max="8439" width="10.28515625" style="2" customWidth="1"/>
    <col min="8440" max="8440" width="9.85546875" style="2" customWidth="1"/>
    <col min="8441" max="8441" width="9.42578125" style="2" customWidth="1"/>
    <col min="8442" max="8442" width="9.7109375" style="2" customWidth="1"/>
    <col min="8443" max="8443" width="9.42578125" style="2" customWidth="1"/>
    <col min="8444" max="8444" width="9.28515625" style="2" customWidth="1"/>
    <col min="8445" max="8445" width="10.5703125" style="2" customWidth="1"/>
    <col min="8446" max="8447" width="8.85546875" style="2" customWidth="1"/>
    <col min="8448" max="8448" width="8.28515625" style="2" customWidth="1"/>
    <col min="8449" max="8449" width="8.85546875" style="2" customWidth="1"/>
    <col min="8450" max="8450" width="9.5703125" style="2" customWidth="1"/>
    <col min="8451" max="8451" width="8.42578125" style="2" customWidth="1"/>
    <col min="8452" max="8452" width="9.5703125" style="2" customWidth="1"/>
    <col min="8453" max="8453" width="8.28515625" style="2" customWidth="1"/>
    <col min="8454" max="8454" width="9.28515625" style="2" customWidth="1"/>
    <col min="8455" max="8455" width="9.85546875" style="2" customWidth="1"/>
    <col min="8456" max="8456" width="10.28515625" style="2" customWidth="1"/>
    <col min="8457" max="8457" width="10.42578125" style="2" customWidth="1"/>
    <col min="8458" max="8458" width="9.5703125" style="2" customWidth="1"/>
    <col min="8459" max="8459" width="10.140625" style="2" customWidth="1"/>
    <col min="8460" max="8460" width="9.5703125" style="2" customWidth="1"/>
    <col min="8461" max="8461" width="10.28515625" style="2" customWidth="1"/>
    <col min="8462" max="8462" width="10" style="2" customWidth="1"/>
    <col min="8463" max="8463" width="9.140625" style="2" customWidth="1"/>
    <col min="8464" max="8464" width="10.5703125" style="2" customWidth="1"/>
    <col min="8465" max="8465" width="9.28515625" style="2" customWidth="1"/>
    <col min="8466" max="8467" width="9.42578125" style="2" customWidth="1"/>
    <col min="8468" max="8468" width="9" style="2" customWidth="1"/>
    <col min="8469" max="8469" width="11" style="2" customWidth="1"/>
    <col min="8470" max="8470" width="9.28515625" style="2" customWidth="1"/>
    <col min="8471" max="8471" width="9.7109375" style="2" customWidth="1"/>
    <col min="8472" max="8472" width="10.85546875" style="2" customWidth="1"/>
    <col min="8473" max="8473" width="10.5703125" style="2" customWidth="1"/>
    <col min="8474" max="8474" width="10.28515625" style="2" customWidth="1"/>
    <col min="8475" max="8475" width="9.85546875" style="2" customWidth="1"/>
    <col min="8476" max="8476" width="10.28515625" style="2" customWidth="1"/>
    <col min="8477" max="8477" width="9" style="2" customWidth="1"/>
    <col min="8478" max="8478" width="9.85546875" style="2" customWidth="1"/>
    <col min="8479" max="8479" width="9.42578125" style="2" customWidth="1"/>
    <col min="8480" max="8480" width="9.140625" style="2" customWidth="1"/>
    <col min="8481" max="8481" width="11" style="2" customWidth="1"/>
    <col min="8482" max="8482" width="9.28515625" style="2" customWidth="1"/>
    <col min="8483" max="8483" width="9.5703125" style="2" customWidth="1"/>
    <col min="8484" max="8484" width="10.42578125" style="2" customWidth="1"/>
    <col min="8485" max="8485" width="9" style="2" customWidth="1"/>
    <col min="8486" max="8486" width="9.7109375" style="2" customWidth="1"/>
    <col min="8487" max="8487" width="10" style="2" customWidth="1"/>
    <col min="8488" max="8488" width="10.7109375" style="2" customWidth="1"/>
    <col min="8489" max="8489" width="9.42578125" style="2" customWidth="1"/>
    <col min="8490" max="8490" width="10.28515625" style="2" customWidth="1"/>
    <col min="8491" max="8491" width="9.5703125" style="2" customWidth="1"/>
    <col min="8492" max="8492" width="10" style="2" customWidth="1"/>
    <col min="8493" max="8493" width="9" style="2" customWidth="1"/>
    <col min="8494" max="8494" width="10.5703125" style="2" customWidth="1"/>
    <col min="8495" max="8495" width="11.28515625" style="2" customWidth="1"/>
    <col min="8496" max="8496" width="10.5703125" style="2" customWidth="1"/>
    <col min="8497" max="8497" width="9.7109375" style="2" customWidth="1"/>
    <col min="8498" max="8498" width="9.5703125" style="2" customWidth="1"/>
    <col min="8499" max="8499" width="10.5703125" style="2" customWidth="1"/>
    <col min="8500" max="8500" width="10.42578125" style="2" customWidth="1"/>
    <col min="8501" max="8501" width="9.85546875" style="2" customWidth="1"/>
    <col min="8502" max="8502" width="10.5703125" style="2" bestFit="1" customWidth="1"/>
    <col min="8503" max="8505" width="10.140625" style="2" bestFit="1" customWidth="1"/>
    <col min="8506" max="8506" width="8.85546875" style="2" customWidth="1"/>
    <col min="8507" max="8507" width="9.140625" style="2" bestFit="1" customWidth="1"/>
    <col min="8508" max="8509" width="10.140625" style="2" customWidth="1"/>
    <col min="8510" max="8510" width="10" style="2" customWidth="1"/>
    <col min="8511" max="8511" width="8.28515625" style="2" customWidth="1"/>
    <col min="8512" max="8512" width="9" style="2" customWidth="1"/>
    <col min="8513" max="8513" width="10.5703125" style="2" customWidth="1"/>
    <col min="8514" max="8514" width="10.140625" style="2" customWidth="1"/>
    <col min="8515" max="8515" width="9.7109375" style="2" customWidth="1"/>
    <col min="8516" max="8516" width="9.140625" style="2" customWidth="1"/>
    <col min="8517" max="8517" width="10.140625" style="2" customWidth="1"/>
    <col min="8518" max="8518" width="9" style="2" customWidth="1"/>
    <col min="8519" max="8519" width="9.28515625" style="2" customWidth="1"/>
    <col min="8520" max="8520" width="11" style="2" customWidth="1"/>
    <col min="8521" max="8521" width="10.140625" style="2" customWidth="1"/>
    <col min="8522" max="8522" width="10.7109375" style="2" customWidth="1"/>
    <col min="8523" max="8523" width="9.85546875" style="2" customWidth="1"/>
    <col min="8524" max="8524" width="11" style="2" customWidth="1"/>
    <col min="8525" max="8525" width="10" style="2" customWidth="1"/>
    <col min="8526" max="8526" width="9.140625" style="2" customWidth="1"/>
    <col min="8527" max="8527" width="10.28515625" style="2" customWidth="1"/>
    <col min="8528" max="8528" width="10.5703125" style="2" customWidth="1"/>
    <col min="8529" max="8529" width="9.85546875" style="2" customWidth="1"/>
    <col min="8530" max="8530" width="10.7109375" style="2" customWidth="1"/>
    <col min="8531" max="8531" width="9.42578125" style="2" customWidth="1"/>
    <col min="8532" max="8532" width="10.42578125" style="2" customWidth="1"/>
    <col min="8533" max="8533" width="9.85546875" style="2" customWidth="1"/>
    <col min="8534" max="8534" width="10.7109375" style="2" customWidth="1"/>
    <col min="8535" max="8535" width="10.140625" style="2" customWidth="1"/>
    <col min="8536" max="8536" width="10.28515625" style="2" customWidth="1"/>
    <col min="8537" max="8537" width="9" style="2" customWidth="1"/>
    <col min="8538" max="8538" width="11.140625" style="2" customWidth="1"/>
    <col min="8539" max="8539" width="10.28515625" style="2" customWidth="1"/>
    <col min="8540" max="8540" width="9.42578125" style="2" customWidth="1"/>
    <col min="8541" max="8541" width="10.42578125" style="2" customWidth="1"/>
    <col min="8542" max="8542" width="9.42578125" style="2" customWidth="1"/>
    <col min="8543" max="8543" width="9" style="2" customWidth="1"/>
    <col min="8544" max="8544" width="10.28515625" style="2" customWidth="1"/>
    <col min="8545" max="8545" width="8.42578125" style="2" customWidth="1"/>
    <col min="8546" max="8546" width="9.7109375" style="2" customWidth="1"/>
    <col min="8547" max="8547" width="8.7109375" style="2" customWidth="1"/>
    <col min="8548" max="8548" width="9.42578125" style="2" customWidth="1"/>
    <col min="8549" max="8549" width="10.85546875" style="2" customWidth="1"/>
    <col min="8550" max="8550" width="9.7109375" style="2" customWidth="1"/>
    <col min="8551" max="8551" width="11.42578125" style="2" customWidth="1"/>
    <col min="8552" max="8552" width="11" style="2" customWidth="1"/>
    <col min="8553" max="8553" width="9.42578125" style="2" customWidth="1"/>
    <col min="8554" max="8554" width="10.28515625" style="2" customWidth="1"/>
    <col min="8555" max="8555" width="10.42578125" style="2" customWidth="1"/>
    <col min="8556" max="8556" width="10.28515625" style="2" customWidth="1"/>
    <col min="8557" max="8558" width="9.140625" style="2" bestFit="1" customWidth="1"/>
    <col min="8559" max="8559" width="10" style="2" customWidth="1"/>
    <col min="8560" max="8560" width="9.140625" style="2" customWidth="1"/>
    <col min="8561" max="8561" width="9.85546875" style="2" customWidth="1"/>
    <col min="8562" max="8562" width="9.5703125" style="2" customWidth="1"/>
    <col min="8563" max="8563" width="10.85546875" style="2" customWidth="1"/>
    <col min="8564" max="8564" width="10.5703125" style="2" customWidth="1"/>
    <col min="8565" max="8565" width="10.28515625" style="2" customWidth="1"/>
    <col min="8566" max="8566" width="9.5703125" style="2" customWidth="1"/>
    <col min="8567" max="8567" width="9.28515625" style="2" customWidth="1"/>
    <col min="8568" max="8568" width="10.28515625" style="2" customWidth="1"/>
    <col min="8569" max="8569" width="10" style="2" customWidth="1"/>
    <col min="8570" max="8570" width="9" style="2" customWidth="1"/>
    <col min="8571" max="8571" width="10.42578125" style="2" customWidth="1"/>
    <col min="8572" max="8573" width="9.85546875" style="2" customWidth="1"/>
    <col min="8574" max="8574" width="10" style="2" customWidth="1"/>
    <col min="8575" max="8575" width="8.28515625" style="2" customWidth="1"/>
    <col min="8576" max="8576" width="9.85546875" style="2" customWidth="1"/>
    <col min="8577" max="8577" width="11.5703125" style="2" customWidth="1"/>
    <col min="8578" max="8578" width="9.140625" style="2" bestFit="1" customWidth="1"/>
    <col min="8579" max="8579" width="10" style="2" customWidth="1"/>
    <col min="8580" max="8580" width="8" style="2" customWidth="1"/>
    <col min="8581" max="8581" width="11.28515625" style="2" customWidth="1"/>
    <col min="8582" max="8584" width="10.140625" style="2" bestFit="1" customWidth="1"/>
    <col min="8585" max="8585" width="12.28515625" style="2" customWidth="1"/>
    <col min="8586" max="8587" width="5.7109375" style="2"/>
    <col min="8588" max="8588" width="10.28515625" style="2" bestFit="1" customWidth="1"/>
    <col min="8589" max="8594" width="5.7109375" style="2"/>
    <col min="8595" max="8595" width="22" style="2" customWidth="1"/>
    <col min="8596" max="8596" width="16" style="2" customWidth="1"/>
    <col min="8597" max="8597" width="7.140625" style="2" bestFit="1" customWidth="1"/>
    <col min="8598" max="8598" width="9.28515625" style="2" bestFit="1" customWidth="1"/>
    <col min="8599" max="8659" width="5.7109375" style="2"/>
    <col min="8660" max="8660" width="29.42578125" style="2" customWidth="1"/>
    <col min="8661" max="8661" width="4.7109375" style="2" customWidth="1"/>
    <col min="8662" max="8663" width="9.7109375" style="2" customWidth="1"/>
    <col min="8664" max="8664" width="9.42578125" style="2" customWidth="1"/>
    <col min="8665" max="8665" width="9.140625" style="2" customWidth="1"/>
    <col min="8666" max="8666" width="8.85546875" style="2" customWidth="1"/>
    <col min="8667" max="8667" width="9.7109375" style="2" customWidth="1"/>
    <col min="8668" max="8668" width="8.140625" style="2" customWidth="1"/>
    <col min="8669" max="8669" width="10.42578125" style="2" customWidth="1"/>
    <col min="8670" max="8670" width="9.140625" style="2" customWidth="1"/>
    <col min="8671" max="8671" width="9.85546875" style="2" customWidth="1"/>
    <col min="8672" max="8672" width="9.42578125" style="2" customWidth="1"/>
    <col min="8673" max="8673" width="9.5703125" style="2" customWidth="1"/>
    <col min="8674" max="8674" width="9.28515625" style="2" customWidth="1"/>
    <col min="8675" max="8675" width="9.140625" style="2" customWidth="1"/>
    <col min="8676" max="8676" width="9.28515625" style="2" bestFit="1" customWidth="1"/>
    <col min="8677" max="8677" width="10.5703125" style="2" customWidth="1"/>
    <col min="8678" max="8678" width="7.7109375" style="2" customWidth="1"/>
    <col min="8679" max="8679" width="9.140625" style="2" customWidth="1"/>
    <col min="8680" max="8680" width="7.85546875" style="2" customWidth="1"/>
    <col min="8681" max="8681" width="8.7109375" style="2" customWidth="1"/>
    <col min="8682" max="8682" width="9.42578125" style="2" customWidth="1"/>
    <col min="8683" max="8683" width="10.28515625" style="2" customWidth="1"/>
    <col min="8684" max="8684" width="9.85546875" style="2" customWidth="1"/>
    <col min="8685" max="8685" width="10.140625" style="2" customWidth="1"/>
    <col min="8686" max="8687" width="8.140625" style="2" customWidth="1"/>
    <col min="8688" max="8689" width="7.85546875" style="2" customWidth="1"/>
    <col min="8690" max="8690" width="9.140625" style="2" customWidth="1"/>
    <col min="8691" max="8691" width="9.7109375" style="2" customWidth="1"/>
    <col min="8692" max="8692" width="8.28515625" style="2" customWidth="1"/>
    <col min="8693" max="8693" width="9.140625" style="2" customWidth="1"/>
    <col min="8694" max="8694" width="10" style="2" customWidth="1"/>
    <col min="8695" max="8695" width="10.28515625" style="2" customWidth="1"/>
    <col min="8696" max="8696" width="9.85546875" style="2" customWidth="1"/>
    <col min="8697" max="8697" width="9.42578125" style="2" customWidth="1"/>
    <col min="8698" max="8698" width="9.7109375" style="2" customWidth="1"/>
    <col min="8699" max="8699" width="9.42578125" style="2" customWidth="1"/>
    <col min="8700" max="8700" width="9.28515625" style="2" customWidth="1"/>
    <col min="8701" max="8701" width="10.5703125" style="2" customWidth="1"/>
    <col min="8702" max="8703" width="8.85546875" style="2" customWidth="1"/>
    <col min="8704" max="8704" width="8.28515625" style="2" customWidth="1"/>
    <col min="8705" max="8705" width="8.85546875" style="2" customWidth="1"/>
    <col min="8706" max="8706" width="9.5703125" style="2" customWidth="1"/>
    <col min="8707" max="8707" width="8.42578125" style="2" customWidth="1"/>
    <col min="8708" max="8708" width="9.5703125" style="2" customWidth="1"/>
    <col min="8709" max="8709" width="8.28515625" style="2" customWidth="1"/>
    <col min="8710" max="8710" width="9.28515625" style="2" customWidth="1"/>
    <col min="8711" max="8711" width="9.85546875" style="2" customWidth="1"/>
    <col min="8712" max="8712" width="10.28515625" style="2" customWidth="1"/>
    <col min="8713" max="8713" width="10.42578125" style="2" customWidth="1"/>
    <col min="8714" max="8714" width="9.5703125" style="2" customWidth="1"/>
    <col min="8715" max="8715" width="10.140625" style="2" customWidth="1"/>
    <col min="8716" max="8716" width="9.5703125" style="2" customWidth="1"/>
    <col min="8717" max="8717" width="10.28515625" style="2" customWidth="1"/>
    <col min="8718" max="8718" width="10" style="2" customWidth="1"/>
    <col min="8719" max="8719" width="9.140625" style="2" customWidth="1"/>
    <col min="8720" max="8720" width="10.5703125" style="2" customWidth="1"/>
    <col min="8721" max="8721" width="9.28515625" style="2" customWidth="1"/>
    <col min="8722" max="8723" width="9.42578125" style="2" customWidth="1"/>
    <col min="8724" max="8724" width="9" style="2" customWidth="1"/>
    <col min="8725" max="8725" width="11" style="2" customWidth="1"/>
    <col min="8726" max="8726" width="9.28515625" style="2" customWidth="1"/>
    <col min="8727" max="8727" width="9.7109375" style="2" customWidth="1"/>
    <col min="8728" max="8728" width="10.85546875" style="2" customWidth="1"/>
    <col min="8729" max="8729" width="10.5703125" style="2" customWidth="1"/>
    <col min="8730" max="8730" width="10.28515625" style="2" customWidth="1"/>
    <col min="8731" max="8731" width="9.85546875" style="2" customWidth="1"/>
    <col min="8732" max="8732" width="10.28515625" style="2" customWidth="1"/>
    <col min="8733" max="8733" width="9" style="2" customWidth="1"/>
    <col min="8734" max="8734" width="9.85546875" style="2" customWidth="1"/>
    <col min="8735" max="8735" width="9.42578125" style="2" customWidth="1"/>
    <col min="8736" max="8736" width="9.140625" style="2" customWidth="1"/>
    <col min="8737" max="8737" width="11" style="2" customWidth="1"/>
    <col min="8738" max="8738" width="9.28515625" style="2" customWidth="1"/>
    <col min="8739" max="8739" width="9.5703125" style="2" customWidth="1"/>
    <col min="8740" max="8740" width="10.42578125" style="2" customWidth="1"/>
    <col min="8741" max="8741" width="9" style="2" customWidth="1"/>
    <col min="8742" max="8742" width="9.7109375" style="2" customWidth="1"/>
    <col min="8743" max="8743" width="10" style="2" customWidth="1"/>
    <col min="8744" max="8744" width="10.7109375" style="2" customWidth="1"/>
    <col min="8745" max="8745" width="9.42578125" style="2" customWidth="1"/>
    <col min="8746" max="8746" width="10.28515625" style="2" customWidth="1"/>
    <col min="8747" max="8747" width="9.5703125" style="2" customWidth="1"/>
    <col min="8748" max="8748" width="10" style="2" customWidth="1"/>
    <col min="8749" max="8749" width="9" style="2" customWidth="1"/>
    <col min="8750" max="8750" width="10.5703125" style="2" customWidth="1"/>
    <col min="8751" max="8751" width="11.28515625" style="2" customWidth="1"/>
    <col min="8752" max="8752" width="10.5703125" style="2" customWidth="1"/>
    <col min="8753" max="8753" width="9.7109375" style="2" customWidth="1"/>
    <col min="8754" max="8754" width="9.5703125" style="2" customWidth="1"/>
    <col min="8755" max="8755" width="10.5703125" style="2" customWidth="1"/>
    <col min="8756" max="8756" width="10.42578125" style="2" customWidth="1"/>
    <col min="8757" max="8757" width="9.85546875" style="2" customWidth="1"/>
    <col min="8758" max="8758" width="10.5703125" style="2" bestFit="1" customWidth="1"/>
    <col min="8759" max="8761" width="10.140625" style="2" bestFit="1" customWidth="1"/>
    <col min="8762" max="8762" width="8.85546875" style="2" customWidth="1"/>
    <col min="8763" max="8763" width="9.140625" style="2" bestFit="1" customWidth="1"/>
    <col min="8764" max="8765" width="10.140625" style="2" customWidth="1"/>
    <col min="8766" max="8766" width="10" style="2" customWidth="1"/>
    <col min="8767" max="8767" width="8.28515625" style="2" customWidth="1"/>
    <col min="8768" max="8768" width="9" style="2" customWidth="1"/>
    <col min="8769" max="8769" width="10.5703125" style="2" customWidth="1"/>
    <col min="8770" max="8770" width="10.140625" style="2" customWidth="1"/>
    <col min="8771" max="8771" width="9.7109375" style="2" customWidth="1"/>
    <col min="8772" max="8772" width="9.140625" style="2" customWidth="1"/>
    <col min="8773" max="8773" width="10.140625" style="2" customWidth="1"/>
    <col min="8774" max="8774" width="9" style="2" customWidth="1"/>
    <col min="8775" max="8775" width="9.28515625" style="2" customWidth="1"/>
    <col min="8776" max="8776" width="11" style="2" customWidth="1"/>
    <col min="8777" max="8777" width="10.140625" style="2" customWidth="1"/>
    <col min="8778" max="8778" width="10.7109375" style="2" customWidth="1"/>
    <col min="8779" max="8779" width="9.85546875" style="2" customWidth="1"/>
    <col min="8780" max="8780" width="11" style="2" customWidth="1"/>
    <col min="8781" max="8781" width="10" style="2" customWidth="1"/>
    <col min="8782" max="8782" width="9.140625" style="2" customWidth="1"/>
    <col min="8783" max="8783" width="10.28515625" style="2" customWidth="1"/>
    <col min="8784" max="8784" width="10.5703125" style="2" customWidth="1"/>
    <col min="8785" max="8785" width="9.85546875" style="2" customWidth="1"/>
    <col min="8786" max="8786" width="10.7109375" style="2" customWidth="1"/>
    <col min="8787" max="8787" width="9.42578125" style="2" customWidth="1"/>
    <col min="8788" max="8788" width="10.42578125" style="2" customWidth="1"/>
    <col min="8789" max="8789" width="9.85546875" style="2" customWidth="1"/>
    <col min="8790" max="8790" width="10.7109375" style="2" customWidth="1"/>
    <col min="8791" max="8791" width="10.140625" style="2" customWidth="1"/>
    <col min="8792" max="8792" width="10.28515625" style="2" customWidth="1"/>
    <col min="8793" max="8793" width="9" style="2" customWidth="1"/>
    <col min="8794" max="8794" width="11.140625" style="2" customWidth="1"/>
    <col min="8795" max="8795" width="10.28515625" style="2" customWidth="1"/>
    <col min="8796" max="8796" width="9.42578125" style="2" customWidth="1"/>
    <col min="8797" max="8797" width="10.42578125" style="2" customWidth="1"/>
    <col min="8798" max="8798" width="9.42578125" style="2" customWidth="1"/>
    <col min="8799" max="8799" width="9" style="2" customWidth="1"/>
    <col min="8800" max="8800" width="10.28515625" style="2" customWidth="1"/>
    <col min="8801" max="8801" width="8.42578125" style="2" customWidth="1"/>
    <col min="8802" max="8802" width="9.7109375" style="2" customWidth="1"/>
    <col min="8803" max="8803" width="8.7109375" style="2" customWidth="1"/>
    <col min="8804" max="8804" width="9.42578125" style="2" customWidth="1"/>
    <col min="8805" max="8805" width="10.85546875" style="2" customWidth="1"/>
    <col min="8806" max="8806" width="9.7109375" style="2" customWidth="1"/>
    <col min="8807" max="8807" width="11.42578125" style="2" customWidth="1"/>
    <col min="8808" max="8808" width="11" style="2" customWidth="1"/>
    <col min="8809" max="8809" width="9.42578125" style="2" customWidth="1"/>
    <col min="8810" max="8810" width="10.28515625" style="2" customWidth="1"/>
    <col min="8811" max="8811" width="10.42578125" style="2" customWidth="1"/>
    <col min="8812" max="8812" width="10.28515625" style="2" customWidth="1"/>
    <col min="8813" max="8814" width="9.140625" style="2" bestFit="1" customWidth="1"/>
    <col min="8815" max="8815" width="10" style="2" customWidth="1"/>
    <col min="8816" max="8816" width="9.140625" style="2" customWidth="1"/>
    <col min="8817" max="8817" width="9.85546875" style="2" customWidth="1"/>
    <col min="8818" max="8818" width="9.5703125" style="2" customWidth="1"/>
    <col min="8819" max="8819" width="10.85546875" style="2" customWidth="1"/>
    <col min="8820" max="8820" width="10.5703125" style="2" customWidth="1"/>
    <col min="8821" max="8821" width="10.28515625" style="2" customWidth="1"/>
    <col min="8822" max="8822" width="9.5703125" style="2" customWidth="1"/>
    <col min="8823" max="8823" width="9.28515625" style="2" customWidth="1"/>
    <col min="8824" max="8824" width="10.28515625" style="2" customWidth="1"/>
    <col min="8825" max="8825" width="10" style="2" customWidth="1"/>
    <col min="8826" max="8826" width="9" style="2" customWidth="1"/>
    <col min="8827" max="8827" width="10.42578125" style="2" customWidth="1"/>
    <col min="8828" max="8829" width="9.85546875" style="2" customWidth="1"/>
    <col min="8830" max="8830" width="10" style="2" customWidth="1"/>
    <col min="8831" max="8831" width="8.28515625" style="2" customWidth="1"/>
    <col min="8832" max="8832" width="9.85546875" style="2" customWidth="1"/>
    <col min="8833" max="8833" width="11.5703125" style="2" customWidth="1"/>
    <col min="8834" max="8834" width="9.140625" style="2" bestFit="1" customWidth="1"/>
    <col min="8835" max="8835" width="10" style="2" customWidth="1"/>
    <col min="8836" max="8836" width="8" style="2" customWidth="1"/>
    <col min="8837" max="8837" width="11.28515625" style="2" customWidth="1"/>
    <col min="8838" max="8840" width="10.140625" style="2" bestFit="1" customWidth="1"/>
    <col min="8841" max="8841" width="12.28515625" style="2" customWidth="1"/>
    <col min="8842" max="8843" width="5.7109375" style="2"/>
    <col min="8844" max="8844" width="10.28515625" style="2" bestFit="1" customWidth="1"/>
    <col min="8845" max="8850" width="5.7109375" style="2"/>
    <col min="8851" max="8851" width="22" style="2" customWidth="1"/>
    <col min="8852" max="8852" width="16" style="2" customWidth="1"/>
    <col min="8853" max="8853" width="7.140625" style="2" bestFit="1" customWidth="1"/>
    <col min="8854" max="8854" width="9.28515625" style="2" bestFit="1" customWidth="1"/>
    <col min="8855" max="8915" width="5.7109375" style="2"/>
    <col min="8916" max="8916" width="29.42578125" style="2" customWidth="1"/>
    <col min="8917" max="8917" width="4.7109375" style="2" customWidth="1"/>
    <col min="8918" max="8919" width="9.7109375" style="2" customWidth="1"/>
    <col min="8920" max="8920" width="9.42578125" style="2" customWidth="1"/>
    <col min="8921" max="8921" width="9.140625" style="2" customWidth="1"/>
    <col min="8922" max="8922" width="8.85546875" style="2" customWidth="1"/>
    <col min="8923" max="8923" width="9.7109375" style="2" customWidth="1"/>
    <col min="8924" max="8924" width="8.140625" style="2" customWidth="1"/>
    <col min="8925" max="8925" width="10.42578125" style="2" customWidth="1"/>
    <col min="8926" max="8926" width="9.140625" style="2" customWidth="1"/>
    <col min="8927" max="8927" width="9.85546875" style="2" customWidth="1"/>
    <col min="8928" max="8928" width="9.42578125" style="2" customWidth="1"/>
    <col min="8929" max="8929" width="9.5703125" style="2" customWidth="1"/>
    <col min="8930" max="8930" width="9.28515625" style="2" customWidth="1"/>
    <col min="8931" max="8931" width="9.140625" style="2" customWidth="1"/>
    <col min="8932" max="8932" width="9.28515625" style="2" bestFit="1" customWidth="1"/>
    <col min="8933" max="8933" width="10.5703125" style="2" customWidth="1"/>
    <col min="8934" max="8934" width="7.7109375" style="2" customWidth="1"/>
    <col min="8935" max="8935" width="9.140625" style="2" customWidth="1"/>
    <col min="8936" max="8936" width="7.85546875" style="2" customWidth="1"/>
    <col min="8937" max="8937" width="8.7109375" style="2" customWidth="1"/>
    <col min="8938" max="8938" width="9.42578125" style="2" customWidth="1"/>
    <col min="8939" max="8939" width="10.28515625" style="2" customWidth="1"/>
    <col min="8940" max="8940" width="9.85546875" style="2" customWidth="1"/>
    <col min="8941" max="8941" width="10.140625" style="2" customWidth="1"/>
    <col min="8942" max="8943" width="8.140625" style="2" customWidth="1"/>
    <col min="8944" max="8945" width="7.85546875" style="2" customWidth="1"/>
    <col min="8946" max="8946" width="9.140625" style="2" customWidth="1"/>
    <col min="8947" max="8947" width="9.7109375" style="2" customWidth="1"/>
    <col min="8948" max="8948" width="8.28515625" style="2" customWidth="1"/>
    <col min="8949" max="8949" width="9.140625" style="2" customWidth="1"/>
    <col min="8950" max="8950" width="10" style="2" customWidth="1"/>
    <col min="8951" max="8951" width="10.28515625" style="2" customWidth="1"/>
    <col min="8952" max="8952" width="9.85546875" style="2" customWidth="1"/>
    <col min="8953" max="8953" width="9.42578125" style="2" customWidth="1"/>
    <col min="8954" max="8954" width="9.7109375" style="2" customWidth="1"/>
    <col min="8955" max="8955" width="9.42578125" style="2" customWidth="1"/>
    <col min="8956" max="8956" width="9.28515625" style="2" customWidth="1"/>
    <col min="8957" max="8957" width="10.5703125" style="2" customWidth="1"/>
    <col min="8958" max="8959" width="8.85546875" style="2" customWidth="1"/>
    <col min="8960" max="8960" width="8.28515625" style="2" customWidth="1"/>
    <col min="8961" max="8961" width="8.85546875" style="2" customWidth="1"/>
    <col min="8962" max="8962" width="9.5703125" style="2" customWidth="1"/>
    <col min="8963" max="8963" width="8.42578125" style="2" customWidth="1"/>
    <col min="8964" max="8964" width="9.5703125" style="2" customWidth="1"/>
    <col min="8965" max="8965" width="8.28515625" style="2" customWidth="1"/>
    <col min="8966" max="8966" width="9.28515625" style="2" customWidth="1"/>
    <col min="8967" max="8967" width="9.85546875" style="2" customWidth="1"/>
    <col min="8968" max="8968" width="10.28515625" style="2" customWidth="1"/>
    <col min="8969" max="8969" width="10.42578125" style="2" customWidth="1"/>
    <col min="8970" max="8970" width="9.5703125" style="2" customWidth="1"/>
    <col min="8971" max="8971" width="10.140625" style="2" customWidth="1"/>
    <col min="8972" max="8972" width="9.5703125" style="2" customWidth="1"/>
    <col min="8973" max="8973" width="10.28515625" style="2" customWidth="1"/>
    <col min="8974" max="8974" width="10" style="2" customWidth="1"/>
    <col min="8975" max="8975" width="9.140625" style="2" customWidth="1"/>
    <col min="8976" max="8976" width="10.5703125" style="2" customWidth="1"/>
    <col min="8977" max="8977" width="9.28515625" style="2" customWidth="1"/>
    <col min="8978" max="8979" width="9.42578125" style="2" customWidth="1"/>
    <col min="8980" max="8980" width="9" style="2" customWidth="1"/>
    <col min="8981" max="8981" width="11" style="2" customWidth="1"/>
    <col min="8982" max="8982" width="9.28515625" style="2" customWidth="1"/>
    <col min="8983" max="8983" width="9.7109375" style="2" customWidth="1"/>
    <col min="8984" max="8984" width="10.85546875" style="2" customWidth="1"/>
    <col min="8985" max="8985" width="10.5703125" style="2" customWidth="1"/>
    <col min="8986" max="8986" width="10.28515625" style="2" customWidth="1"/>
    <col min="8987" max="8987" width="9.85546875" style="2" customWidth="1"/>
    <col min="8988" max="8988" width="10.28515625" style="2" customWidth="1"/>
    <col min="8989" max="8989" width="9" style="2" customWidth="1"/>
    <col min="8990" max="8990" width="9.85546875" style="2" customWidth="1"/>
    <col min="8991" max="8991" width="9.42578125" style="2" customWidth="1"/>
    <col min="8992" max="8992" width="9.140625" style="2" customWidth="1"/>
    <col min="8993" max="8993" width="11" style="2" customWidth="1"/>
    <col min="8994" max="8994" width="9.28515625" style="2" customWidth="1"/>
    <col min="8995" max="8995" width="9.5703125" style="2" customWidth="1"/>
    <col min="8996" max="8996" width="10.42578125" style="2" customWidth="1"/>
    <col min="8997" max="8997" width="9" style="2" customWidth="1"/>
    <col min="8998" max="8998" width="9.7109375" style="2" customWidth="1"/>
    <col min="8999" max="8999" width="10" style="2" customWidth="1"/>
    <col min="9000" max="9000" width="10.7109375" style="2" customWidth="1"/>
    <col min="9001" max="9001" width="9.42578125" style="2" customWidth="1"/>
    <col min="9002" max="9002" width="10.28515625" style="2" customWidth="1"/>
    <col min="9003" max="9003" width="9.5703125" style="2" customWidth="1"/>
    <col min="9004" max="9004" width="10" style="2" customWidth="1"/>
    <col min="9005" max="9005" width="9" style="2" customWidth="1"/>
    <col min="9006" max="9006" width="10.5703125" style="2" customWidth="1"/>
    <col min="9007" max="9007" width="11.28515625" style="2" customWidth="1"/>
    <col min="9008" max="9008" width="10.5703125" style="2" customWidth="1"/>
    <col min="9009" max="9009" width="9.7109375" style="2" customWidth="1"/>
    <col min="9010" max="9010" width="9.5703125" style="2" customWidth="1"/>
    <col min="9011" max="9011" width="10.5703125" style="2" customWidth="1"/>
    <col min="9012" max="9012" width="10.42578125" style="2" customWidth="1"/>
    <col min="9013" max="9013" width="9.85546875" style="2" customWidth="1"/>
    <col min="9014" max="9014" width="10.5703125" style="2" bestFit="1" customWidth="1"/>
    <col min="9015" max="9017" width="10.140625" style="2" bestFit="1" customWidth="1"/>
    <col min="9018" max="9018" width="8.85546875" style="2" customWidth="1"/>
    <col min="9019" max="9019" width="9.140625" style="2" bestFit="1" customWidth="1"/>
    <col min="9020" max="9021" width="10.140625" style="2" customWidth="1"/>
    <col min="9022" max="9022" width="10" style="2" customWidth="1"/>
    <col min="9023" max="9023" width="8.28515625" style="2" customWidth="1"/>
    <col min="9024" max="9024" width="9" style="2" customWidth="1"/>
    <col min="9025" max="9025" width="10.5703125" style="2" customWidth="1"/>
    <col min="9026" max="9026" width="10.140625" style="2" customWidth="1"/>
    <col min="9027" max="9027" width="9.7109375" style="2" customWidth="1"/>
    <col min="9028" max="9028" width="9.140625" style="2" customWidth="1"/>
    <col min="9029" max="9029" width="10.140625" style="2" customWidth="1"/>
    <col min="9030" max="9030" width="9" style="2" customWidth="1"/>
    <col min="9031" max="9031" width="9.28515625" style="2" customWidth="1"/>
    <col min="9032" max="9032" width="11" style="2" customWidth="1"/>
    <col min="9033" max="9033" width="10.140625" style="2" customWidth="1"/>
    <col min="9034" max="9034" width="10.7109375" style="2" customWidth="1"/>
    <col min="9035" max="9035" width="9.85546875" style="2" customWidth="1"/>
    <col min="9036" max="9036" width="11" style="2" customWidth="1"/>
    <col min="9037" max="9037" width="10" style="2" customWidth="1"/>
    <col min="9038" max="9038" width="9.140625" style="2" customWidth="1"/>
    <col min="9039" max="9039" width="10.28515625" style="2" customWidth="1"/>
    <col min="9040" max="9040" width="10.5703125" style="2" customWidth="1"/>
    <col min="9041" max="9041" width="9.85546875" style="2" customWidth="1"/>
    <col min="9042" max="9042" width="10.7109375" style="2" customWidth="1"/>
    <col min="9043" max="9043" width="9.42578125" style="2" customWidth="1"/>
    <col min="9044" max="9044" width="10.42578125" style="2" customWidth="1"/>
    <col min="9045" max="9045" width="9.85546875" style="2" customWidth="1"/>
    <col min="9046" max="9046" width="10.7109375" style="2" customWidth="1"/>
    <col min="9047" max="9047" width="10.140625" style="2" customWidth="1"/>
    <col min="9048" max="9048" width="10.28515625" style="2" customWidth="1"/>
    <col min="9049" max="9049" width="9" style="2" customWidth="1"/>
    <col min="9050" max="9050" width="11.140625" style="2" customWidth="1"/>
    <col min="9051" max="9051" width="10.28515625" style="2" customWidth="1"/>
    <col min="9052" max="9052" width="9.42578125" style="2" customWidth="1"/>
    <col min="9053" max="9053" width="10.42578125" style="2" customWidth="1"/>
    <col min="9054" max="9054" width="9.42578125" style="2" customWidth="1"/>
    <col min="9055" max="9055" width="9" style="2" customWidth="1"/>
    <col min="9056" max="9056" width="10.28515625" style="2" customWidth="1"/>
    <col min="9057" max="9057" width="8.42578125" style="2" customWidth="1"/>
    <col min="9058" max="9058" width="9.7109375" style="2" customWidth="1"/>
    <col min="9059" max="9059" width="8.7109375" style="2" customWidth="1"/>
    <col min="9060" max="9060" width="9.42578125" style="2" customWidth="1"/>
    <col min="9061" max="9061" width="10.85546875" style="2" customWidth="1"/>
    <col min="9062" max="9062" width="9.7109375" style="2" customWidth="1"/>
    <col min="9063" max="9063" width="11.42578125" style="2" customWidth="1"/>
    <col min="9064" max="9064" width="11" style="2" customWidth="1"/>
    <col min="9065" max="9065" width="9.42578125" style="2" customWidth="1"/>
    <col min="9066" max="9066" width="10.28515625" style="2" customWidth="1"/>
    <col min="9067" max="9067" width="10.42578125" style="2" customWidth="1"/>
    <col min="9068" max="9068" width="10.28515625" style="2" customWidth="1"/>
    <col min="9069" max="9070" width="9.140625" style="2" bestFit="1" customWidth="1"/>
    <col min="9071" max="9071" width="10" style="2" customWidth="1"/>
    <col min="9072" max="9072" width="9.140625" style="2" customWidth="1"/>
    <col min="9073" max="9073" width="9.85546875" style="2" customWidth="1"/>
    <col min="9074" max="9074" width="9.5703125" style="2" customWidth="1"/>
    <col min="9075" max="9075" width="10.85546875" style="2" customWidth="1"/>
    <col min="9076" max="9076" width="10.5703125" style="2" customWidth="1"/>
    <col min="9077" max="9077" width="10.28515625" style="2" customWidth="1"/>
    <col min="9078" max="9078" width="9.5703125" style="2" customWidth="1"/>
    <col min="9079" max="9079" width="9.28515625" style="2" customWidth="1"/>
    <col min="9080" max="9080" width="10.28515625" style="2" customWidth="1"/>
    <col min="9081" max="9081" width="10" style="2" customWidth="1"/>
    <col min="9082" max="9082" width="9" style="2" customWidth="1"/>
    <col min="9083" max="9083" width="10.42578125" style="2" customWidth="1"/>
    <col min="9084" max="9085" width="9.85546875" style="2" customWidth="1"/>
    <col min="9086" max="9086" width="10" style="2" customWidth="1"/>
    <col min="9087" max="9087" width="8.28515625" style="2" customWidth="1"/>
    <col min="9088" max="9088" width="9.85546875" style="2" customWidth="1"/>
    <col min="9089" max="9089" width="11.5703125" style="2" customWidth="1"/>
    <col min="9090" max="9090" width="9.140625" style="2" bestFit="1" customWidth="1"/>
    <col min="9091" max="9091" width="10" style="2" customWidth="1"/>
    <col min="9092" max="9092" width="8" style="2" customWidth="1"/>
    <col min="9093" max="9093" width="11.28515625" style="2" customWidth="1"/>
    <col min="9094" max="9096" width="10.140625" style="2" bestFit="1" customWidth="1"/>
    <col min="9097" max="9097" width="12.28515625" style="2" customWidth="1"/>
    <col min="9098" max="9099" width="5.7109375" style="2"/>
    <col min="9100" max="9100" width="10.28515625" style="2" bestFit="1" customWidth="1"/>
    <col min="9101" max="9106" width="5.7109375" style="2"/>
    <col min="9107" max="9107" width="22" style="2" customWidth="1"/>
    <col min="9108" max="9108" width="16" style="2" customWidth="1"/>
    <col min="9109" max="9109" width="7.140625" style="2" bestFit="1" customWidth="1"/>
    <col min="9110" max="9110" width="9.28515625" style="2" bestFit="1" customWidth="1"/>
    <col min="9111" max="9171" width="5.7109375" style="2"/>
    <col min="9172" max="9172" width="29.42578125" style="2" customWidth="1"/>
    <col min="9173" max="9173" width="4.7109375" style="2" customWidth="1"/>
    <col min="9174" max="9175" width="9.7109375" style="2" customWidth="1"/>
    <col min="9176" max="9176" width="9.42578125" style="2" customWidth="1"/>
    <col min="9177" max="9177" width="9.140625" style="2" customWidth="1"/>
    <col min="9178" max="9178" width="8.85546875" style="2" customWidth="1"/>
    <col min="9179" max="9179" width="9.7109375" style="2" customWidth="1"/>
    <col min="9180" max="9180" width="8.140625" style="2" customWidth="1"/>
    <col min="9181" max="9181" width="10.42578125" style="2" customWidth="1"/>
    <col min="9182" max="9182" width="9.140625" style="2" customWidth="1"/>
    <col min="9183" max="9183" width="9.85546875" style="2" customWidth="1"/>
    <col min="9184" max="9184" width="9.42578125" style="2" customWidth="1"/>
    <col min="9185" max="9185" width="9.5703125" style="2" customWidth="1"/>
    <col min="9186" max="9186" width="9.28515625" style="2" customWidth="1"/>
    <col min="9187" max="9187" width="9.140625" style="2" customWidth="1"/>
    <col min="9188" max="9188" width="9.28515625" style="2" bestFit="1" customWidth="1"/>
    <col min="9189" max="9189" width="10.5703125" style="2" customWidth="1"/>
    <col min="9190" max="9190" width="7.7109375" style="2" customWidth="1"/>
    <col min="9191" max="9191" width="9.140625" style="2" customWidth="1"/>
    <col min="9192" max="9192" width="7.85546875" style="2" customWidth="1"/>
    <col min="9193" max="9193" width="8.7109375" style="2" customWidth="1"/>
    <col min="9194" max="9194" width="9.42578125" style="2" customWidth="1"/>
    <col min="9195" max="9195" width="10.28515625" style="2" customWidth="1"/>
    <col min="9196" max="9196" width="9.85546875" style="2" customWidth="1"/>
    <col min="9197" max="9197" width="10.140625" style="2" customWidth="1"/>
    <col min="9198" max="9199" width="8.140625" style="2" customWidth="1"/>
    <col min="9200" max="9201" width="7.85546875" style="2" customWidth="1"/>
    <col min="9202" max="9202" width="9.140625" style="2" customWidth="1"/>
    <col min="9203" max="9203" width="9.7109375" style="2" customWidth="1"/>
    <col min="9204" max="9204" width="8.28515625" style="2" customWidth="1"/>
    <col min="9205" max="9205" width="9.140625" style="2" customWidth="1"/>
    <col min="9206" max="9206" width="10" style="2" customWidth="1"/>
    <col min="9207" max="9207" width="10.28515625" style="2" customWidth="1"/>
    <col min="9208" max="9208" width="9.85546875" style="2" customWidth="1"/>
    <col min="9209" max="9209" width="9.42578125" style="2" customWidth="1"/>
    <col min="9210" max="9210" width="9.7109375" style="2" customWidth="1"/>
    <col min="9211" max="9211" width="9.42578125" style="2" customWidth="1"/>
    <col min="9212" max="9212" width="9.28515625" style="2" customWidth="1"/>
    <col min="9213" max="9213" width="10.5703125" style="2" customWidth="1"/>
    <col min="9214" max="9215" width="8.85546875" style="2" customWidth="1"/>
    <col min="9216" max="9216" width="8.28515625" style="2" customWidth="1"/>
    <col min="9217" max="9217" width="8.85546875" style="2" customWidth="1"/>
    <col min="9218" max="9218" width="9.5703125" style="2" customWidth="1"/>
    <col min="9219" max="9219" width="8.42578125" style="2" customWidth="1"/>
    <col min="9220" max="9220" width="9.5703125" style="2" customWidth="1"/>
    <col min="9221" max="9221" width="8.28515625" style="2" customWidth="1"/>
    <col min="9222" max="9222" width="9.28515625" style="2" customWidth="1"/>
    <col min="9223" max="9223" width="9.85546875" style="2" customWidth="1"/>
    <col min="9224" max="9224" width="10.28515625" style="2" customWidth="1"/>
    <col min="9225" max="9225" width="10.42578125" style="2" customWidth="1"/>
    <col min="9226" max="9226" width="9.5703125" style="2" customWidth="1"/>
    <col min="9227" max="9227" width="10.140625" style="2" customWidth="1"/>
    <col min="9228" max="9228" width="9.5703125" style="2" customWidth="1"/>
    <col min="9229" max="9229" width="10.28515625" style="2" customWidth="1"/>
    <col min="9230" max="9230" width="10" style="2" customWidth="1"/>
    <col min="9231" max="9231" width="9.140625" style="2" customWidth="1"/>
    <col min="9232" max="9232" width="10.5703125" style="2" customWidth="1"/>
    <col min="9233" max="9233" width="9.28515625" style="2" customWidth="1"/>
    <col min="9234" max="9235" width="9.42578125" style="2" customWidth="1"/>
    <col min="9236" max="9236" width="9" style="2" customWidth="1"/>
    <col min="9237" max="9237" width="11" style="2" customWidth="1"/>
    <col min="9238" max="9238" width="9.28515625" style="2" customWidth="1"/>
    <col min="9239" max="9239" width="9.7109375" style="2" customWidth="1"/>
    <col min="9240" max="9240" width="10.85546875" style="2" customWidth="1"/>
    <col min="9241" max="9241" width="10.5703125" style="2" customWidth="1"/>
    <col min="9242" max="9242" width="10.28515625" style="2" customWidth="1"/>
    <col min="9243" max="9243" width="9.85546875" style="2" customWidth="1"/>
    <col min="9244" max="9244" width="10.28515625" style="2" customWidth="1"/>
    <col min="9245" max="9245" width="9" style="2" customWidth="1"/>
    <col min="9246" max="9246" width="9.85546875" style="2" customWidth="1"/>
    <col min="9247" max="9247" width="9.42578125" style="2" customWidth="1"/>
    <col min="9248" max="9248" width="9.140625" style="2" customWidth="1"/>
    <col min="9249" max="9249" width="11" style="2" customWidth="1"/>
    <col min="9250" max="9250" width="9.28515625" style="2" customWidth="1"/>
    <col min="9251" max="9251" width="9.5703125" style="2" customWidth="1"/>
    <col min="9252" max="9252" width="10.42578125" style="2" customWidth="1"/>
    <col min="9253" max="9253" width="9" style="2" customWidth="1"/>
    <col min="9254" max="9254" width="9.7109375" style="2" customWidth="1"/>
    <col min="9255" max="9255" width="10" style="2" customWidth="1"/>
    <col min="9256" max="9256" width="10.7109375" style="2" customWidth="1"/>
    <col min="9257" max="9257" width="9.42578125" style="2" customWidth="1"/>
    <col min="9258" max="9258" width="10.28515625" style="2" customWidth="1"/>
    <col min="9259" max="9259" width="9.5703125" style="2" customWidth="1"/>
    <col min="9260" max="9260" width="10" style="2" customWidth="1"/>
    <col min="9261" max="9261" width="9" style="2" customWidth="1"/>
    <col min="9262" max="9262" width="10.5703125" style="2" customWidth="1"/>
    <col min="9263" max="9263" width="11.28515625" style="2" customWidth="1"/>
    <col min="9264" max="9264" width="10.5703125" style="2" customWidth="1"/>
    <col min="9265" max="9265" width="9.7109375" style="2" customWidth="1"/>
    <col min="9266" max="9266" width="9.5703125" style="2" customWidth="1"/>
    <col min="9267" max="9267" width="10.5703125" style="2" customWidth="1"/>
    <col min="9268" max="9268" width="10.42578125" style="2" customWidth="1"/>
    <col min="9269" max="9269" width="9.85546875" style="2" customWidth="1"/>
    <col min="9270" max="9270" width="10.5703125" style="2" bestFit="1" customWidth="1"/>
    <col min="9271" max="9273" width="10.140625" style="2" bestFit="1" customWidth="1"/>
    <col min="9274" max="9274" width="8.85546875" style="2" customWidth="1"/>
    <col min="9275" max="9275" width="9.140625" style="2" bestFit="1" customWidth="1"/>
    <col min="9276" max="9277" width="10.140625" style="2" customWidth="1"/>
    <col min="9278" max="9278" width="10" style="2" customWidth="1"/>
    <col min="9279" max="9279" width="8.28515625" style="2" customWidth="1"/>
    <col min="9280" max="9280" width="9" style="2" customWidth="1"/>
    <col min="9281" max="9281" width="10.5703125" style="2" customWidth="1"/>
    <col min="9282" max="9282" width="10.140625" style="2" customWidth="1"/>
    <col min="9283" max="9283" width="9.7109375" style="2" customWidth="1"/>
    <col min="9284" max="9284" width="9.140625" style="2" customWidth="1"/>
    <col min="9285" max="9285" width="10.140625" style="2" customWidth="1"/>
    <col min="9286" max="9286" width="9" style="2" customWidth="1"/>
    <col min="9287" max="9287" width="9.28515625" style="2" customWidth="1"/>
    <col min="9288" max="9288" width="11" style="2" customWidth="1"/>
    <col min="9289" max="9289" width="10.140625" style="2" customWidth="1"/>
    <col min="9290" max="9290" width="10.7109375" style="2" customWidth="1"/>
    <col min="9291" max="9291" width="9.85546875" style="2" customWidth="1"/>
    <col min="9292" max="9292" width="11" style="2" customWidth="1"/>
    <col min="9293" max="9293" width="10" style="2" customWidth="1"/>
    <col min="9294" max="9294" width="9.140625" style="2" customWidth="1"/>
    <col min="9295" max="9295" width="10.28515625" style="2" customWidth="1"/>
    <col min="9296" max="9296" width="10.5703125" style="2" customWidth="1"/>
    <col min="9297" max="9297" width="9.85546875" style="2" customWidth="1"/>
    <col min="9298" max="9298" width="10.7109375" style="2" customWidth="1"/>
    <col min="9299" max="9299" width="9.42578125" style="2" customWidth="1"/>
    <col min="9300" max="9300" width="10.42578125" style="2" customWidth="1"/>
    <col min="9301" max="9301" width="9.85546875" style="2" customWidth="1"/>
    <col min="9302" max="9302" width="10.7109375" style="2" customWidth="1"/>
    <col min="9303" max="9303" width="10.140625" style="2" customWidth="1"/>
    <col min="9304" max="9304" width="10.28515625" style="2" customWidth="1"/>
    <col min="9305" max="9305" width="9" style="2" customWidth="1"/>
    <col min="9306" max="9306" width="11.140625" style="2" customWidth="1"/>
    <col min="9307" max="9307" width="10.28515625" style="2" customWidth="1"/>
    <col min="9308" max="9308" width="9.42578125" style="2" customWidth="1"/>
    <col min="9309" max="9309" width="10.42578125" style="2" customWidth="1"/>
    <col min="9310" max="9310" width="9.42578125" style="2" customWidth="1"/>
    <col min="9311" max="9311" width="9" style="2" customWidth="1"/>
    <col min="9312" max="9312" width="10.28515625" style="2" customWidth="1"/>
    <col min="9313" max="9313" width="8.42578125" style="2" customWidth="1"/>
    <col min="9314" max="9314" width="9.7109375" style="2" customWidth="1"/>
    <col min="9315" max="9315" width="8.7109375" style="2" customWidth="1"/>
    <col min="9316" max="9316" width="9.42578125" style="2" customWidth="1"/>
    <col min="9317" max="9317" width="10.85546875" style="2" customWidth="1"/>
    <col min="9318" max="9318" width="9.7109375" style="2" customWidth="1"/>
    <col min="9319" max="9319" width="11.42578125" style="2" customWidth="1"/>
    <col min="9320" max="9320" width="11" style="2" customWidth="1"/>
    <col min="9321" max="9321" width="9.42578125" style="2" customWidth="1"/>
    <col min="9322" max="9322" width="10.28515625" style="2" customWidth="1"/>
    <col min="9323" max="9323" width="10.42578125" style="2" customWidth="1"/>
    <col min="9324" max="9324" width="10.28515625" style="2" customWidth="1"/>
    <col min="9325" max="9326" width="9.140625" style="2" bestFit="1" customWidth="1"/>
    <col min="9327" max="9327" width="10" style="2" customWidth="1"/>
    <col min="9328" max="9328" width="9.140625" style="2" customWidth="1"/>
    <col min="9329" max="9329" width="9.85546875" style="2" customWidth="1"/>
    <col min="9330" max="9330" width="9.5703125" style="2" customWidth="1"/>
    <col min="9331" max="9331" width="10.85546875" style="2" customWidth="1"/>
    <col min="9332" max="9332" width="10.5703125" style="2" customWidth="1"/>
    <col min="9333" max="9333" width="10.28515625" style="2" customWidth="1"/>
    <col min="9334" max="9334" width="9.5703125" style="2" customWidth="1"/>
    <col min="9335" max="9335" width="9.28515625" style="2" customWidth="1"/>
    <col min="9336" max="9336" width="10.28515625" style="2" customWidth="1"/>
    <col min="9337" max="9337" width="10" style="2" customWidth="1"/>
    <col min="9338" max="9338" width="9" style="2" customWidth="1"/>
    <col min="9339" max="9339" width="10.42578125" style="2" customWidth="1"/>
    <col min="9340" max="9341" width="9.85546875" style="2" customWidth="1"/>
    <col min="9342" max="9342" width="10" style="2" customWidth="1"/>
    <col min="9343" max="9343" width="8.28515625" style="2" customWidth="1"/>
    <col min="9344" max="9344" width="9.85546875" style="2" customWidth="1"/>
    <col min="9345" max="9345" width="11.5703125" style="2" customWidth="1"/>
    <col min="9346" max="9346" width="9.140625" style="2" bestFit="1" customWidth="1"/>
    <col min="9347" max="9347" width="10" style="2" customWidth="1"/>
    <col min="9348" max="9348" width="8" style="2" customWidth="1"/>
    <col min="9349" max="9349" width="11.28515625" style="2" customWidth="1"/>
    <col min="9350" max="9352" width="10.140625" style="2" bestFit="1" customWidth="1"/>
    <col min="9353" max="9353" width="12.28515625" style="2" customWidth="1"/>
    <col min="9354" max="9355" width="5.7109375" style="2"/>
    <col min="9356" max="9356" width="10.28515625" style="2" bestFit="1" customWidth="1"/>
    <col min="9357" max="9362" width="5.7109375" style="2"/>
    <col min="9363" max="9363" width="22" style="2" customWidth="1"/>
    <col min="9364" max="9364" width="16" style="2" customWidth="1"/>
    <col min="9365" max="9365" width="7.140625" style="2" bestFit="1" customWidth="1"/>
    <col min="9366" max="9366" width="9.28515625" style="2" bestFit="1" customWidth="1"/>
    <col min="9367" max="9427" width="5.7109375" style="2"/>
    <col min="9428" max="9428" width="29.42578125" style="2" customWidth="1"/>
    <col min="9429" max="9429" width="4.7109375" style="2" customWidth="1"/>
    <col min="9430" max="9431" width="9.7109375" style="2" customWidth="1"/>
    <col min="9432" max="9432" width="9.42578125" style="2" customWidth="1"/>
    <col min="9433" max="9433" width="9.140625" style="2" customWidth="1"/>
    <col min="9434" max="9434" width="8.85546875" style="2" customWidth="1"/>
    <col min="9435" max="9435" width="9.7109375" style="2" customWidth="1"/>
    <col min="9436" max="9436" width="8.140625" style="2" customWidth="1"/>
    <col min="9437" max="9437" width="10.42578125" style="2" customWidth="1"/>
    <col min="9438" max="9438" width="9.140625" style="2" customWidth="1"/>
    <col min="9439" max="9439" width="9.85546875" style="2" customWidth="1"/>
    <col min="9440" max="9440" width="9.42578125" style="2" customWidth="1"/>
    <col min="9441" max="9441" width="9.5703125" style="2" customWidth="1"/>
    <col min="9442" max="9442" width="9.28515625" style="2" customWidth="1"/>
    <col min="9443" max="9443" width="9.140625" style="2" customWidth="1"/>
    <col min="9444" max="9444" width="9.28515625" style="2" bestFit="1" customWidth="1"/>
    <col min="9445" max="9445" width="10.5703125" style="2" customWidth="1"/>
    <col min="9446" max="9446" width="7.7109375" style="2" customWidth="1"/>
    <col min="9447" max="9447" width="9.140625" style="2" customWidth="1"/>
    <col min="9448" max="9448" width="7.85546875" style="2" customWidth="1"/>
    <col min="9449" max="9449" width="8.7109375" style="2" customWidth="1"/>
    <col min="9450" max="9450" width="9.42578125" style="2" customWidth="1"/>
    <col min="9451" max="9451" width="10.28515625" style="2" customWidth="1"/>
    <col min="9452" max="9452" width="9.85546875" style="2" customWidth="1"/>
    <col min="9453" max="9453" width="10.140625" style="2" customWidth="1"/>
    <col min="9454" max="9455" width="8.140625" style="2" customWidth="1"/>
    <col min="9456" max="9457" width="7.85546875" style="2" customWidth="1"/>
    <col min="9458" max="9458" width="9.140625" style="2" customWidth="1"/>
    <col min="9459" max="9459" width="9.7109375" style="2" customWidth="1"/>
    <col min="9460" max="9460" width="8.28515625" style="2" customWidth="1"/>
    <col min="9461" max="9461" width="9.140625" style="2" customWidth="1"/>
    <col min="9462" max="9462" width="10" style="2" customWidth="1"/>
    <col min="9463" max="9463" width="10.28515625" style="2" customWidth="1"/>
    <col min="9464" max="9464" width="9.85546875" style="2" customWidth="1"/>
    <col min="9465" max="9465" width="9.42578125" style="2" customWidth="1"/>
    <col min="9466" max="9466" width="9.7109375" style="2" customWidth="1"/>
    <col min="9467" max="9467" width="9.42578125" style="2" customWidth="1"/>
    <col min="9468" max="9468" width="9.28515625" style="2" customWidth="1"/>
    <col min="9469" max="9469" width="10.5703125" style="2" customWidth="1"/>
    <col min="9470" max="9471" width="8.85546875" style="2" customWidth="1"/>
    <col min="9472" max="9472" width="8.28515625" style="2" customWidth="1"/>
    <col min="9473" max="9473" width="8.85546875" style="2" customWidth="1"/>
    <col min="9474" max="9474" width="9.5703125" style="2" customWidth="1"/>
    <col min="9475" max="9475" width="8.42578125" style="2" customWidth="1"/>
    <col min="9476" max="9476" width="9.5703125" style="2" customWidth="1"/>
    <col min="9477" max="9477" width="8.28515625" style="2" customWidth="1"/>
    <col min="9478" max="9478" width="9.28515625" style="2" customWidth="1"/>
    <col min="9479" max="9479" width="9.85546875" style="2" customWidth="1"/>
    <col min="9480" max="9480" width="10.28515625" style="2" customWidth="1"/>
    <col min="9481" max="9481" width="10.42578125" style="2" customWidth="1"/>
    <col min="9482" max="9482" width="9.5703125" style="2" customWidth="1"/>
    <col min="9483" max="9483" width="10.140625" style="2" customWidth="1"/>
    <col min="9484" max="9484" width="9.5703125" style="2" customWidth="1"/>
    <col min="9485" max="9485" width="10.28515625" style="2" customWidth="1"/>
    <col min="9486" max="9486" width="10" style="2" customWidth="1"/>
    <col min="9487" max="9487" width="9.140625" style="2" customWidth="1"/>
    <col min="9488" max="9488" width="10.5703125" style="2" customWidth="1"/>
    <col min="9489" max="9489" width="9.28515625" style="2" customWidth="1"/>
    <col min="9490" max="9491" width="9.42578125" style="2" customWidth="1"/>
    <col min="9492" max="9492" width="9" style="2" customWidth="1"/>
    <col min="9493" max="9493" width="11" style="2" customWidth="1"/>
    <col min="9494" max="9494" width="9.28515625" style="2" customWidth="1"/>
    <col min="9495" max="9495" width="9.7109375" style="2" customWidth="1"/>
    <col min="9496" max="9496" width="10.85546875" style="2" customWidth="1"/>
    <col min="9497" max="9497" width="10.5703125" style="2" customWidth="1"/>
    <col min="9498" max="9498" width="10.28515625" style="2" customWidth="1"/>
    <col min="9499" max="9499" width="9.85546875" style="2" customWidth="1"/>
    <col min="9500" max="9500" width="10.28515625" style="2" customWidth="1"/>
    <col min="9501" max="9501" width="9" style="2" customWidth="1"/>
    <col min="9502" max="9502" width="9.85546875" style="2" customWidth="1"/>
    <col min="9503" max="9503" width="9.42578125" style="2" customWidth="1"/>
    <col min="9504" max="9504" width="9.140625" style="2" customWidth="1"/>
    <col min="9505" max="9505" width="11" style="2" customWidth="1"/>
    <col min="9506" max="9506" width="9.28515625" style="2" customWidth="1"/>
    <col min="9507" max="9507" width="9.5703125" style="2" customWidth="1"/>
    <col min="9508" max="9508" width="10.42578125" style="2" customWidth="1"/>
    <col min="9509" max="9509" width="9" style="2" customWidth="1"/>
    <col min="9510" max="9510" width="9.7109375" style="2" customWidth="1"/>
    <col min="9511" max="9511" width="10" style="2" customWidth="1"/>
    <col min="9512" max="9512" width="10.7109375" style="2" customWidth="1"/>
    <col min="9513" max="9513" width="9.42578125" style="2" customWidth="1"/>
    <col min="9514" max="9514" width="10.28515625" style="2" customWidth="1"/>
    <col min="9515" max="9515" width="9.5703125" style="2" customWidth="1"/>
    <col min="9516" max="9516" width="10" style="2" customWidth="1"/>
    <col min="9517" max="9517" width="9" style="2" customWidth="1"/>
    <col min="9518" max="9518" width="10.5703125" style="2" customWidth="1"/>
    <col min="9519" max="9519" width="11.28515625" style="2" customWidth="1"/>
    <col min="9520" max="9520" width="10.5703125" style="2" customWidth="1"/>
    <col min="9521" max="9521" width="9.7109375" style="2" customWidth="1"/>
    <col min="9522" max="9522" width="9.5703125" style="2" customWidth="1"/>
    <col min="9523" max="9523" width="10.5703125" style="2" customWidth="1"/>
    <col min="9524" max="9524" width="10.42578125" style="2" customWidth="1"/>
    <col min="9525" max="9525" width="9.85546875" style="2" customWidth="1"/>
    <col min="9526" max="9526" width="10.5703125" style="2" bestFit="1" customWidth="1"/>
    <col min="9527" max="9529" width="10.140625" style="2" bestFit="1" customWidth="1"/>
    <col min="9530" max="9530" width="8.85546875" style="2" customWidth="1"/>
    <col min="9531" max="9531" width="9.140625" style="2" bestFit="1" customWidth="1"/>
    <col min="9532" max="9533" width="10.140625" style="2" customWidth="1"/>
    <col min="9534" max="9534" width="10" style="2" customWidth="1"/>
    <col min="9535" max="9535" width="8.28515625" style="2" customWidth="1"/>
    <col min="9536" max="9536" width="9" style="2" customWidth="1"/>
    <col min="9537" max="9537" width="10.5703125" style="2" customWidth="1"/>
    <col min="9538" max="9538" width="10.140625" style="2" customWidth="1"/>
    <col min="9539" max="9539" width="9.7109375" style="2" customWidth="1"/>
    <col min="9540" max="9540" width="9.140625" style="2" customWidth="1"/>
    <col min="9541" max="9541" width="10.140625" style="2" customWidth="1"/>
    <col min="9542" max="9542" width="9" style="2" customWidth="1"/>
    <col min="9543" max="9543" width="9.28515625" style="2" customWidth="1"/>
    <col min="9544" max="9544" width="11" style="2" customWidth="1"/>
    <col min="9545" max="9545" width="10.140625" style="2" customWidth="1"/>
    <col min="9546" max="9546" width="10.7109375" style="2" customWidth="1"/>
    <col min="9547" max="9547" width="9.85546875" style="2" customWidth="1"/>
    <col min="9548" max="9548" width="11" style="2" customWidth="1"/>
    <col min="9549" max="9549" width="10" style="2" customWidth="1"/>
    <col min="9550" max="9550" width="9.140625" style="2" customWidth="1"/>
    <col min="9551" max="9551" width="10.28515625" style="2" customWidth="1"/>
    <col min="9552" max="9552" width="10.5703125" style="2" customWidth="1"/>
    <col min="9553" max="9553" width="9.85546875" style="2" customWidth="1"/>
    <col min="9554" max="9554" width="10.7109375" style="2" customWidth="1"/>
    <col min="9555" max="9555" width="9.42578125" style="2" customWidth="1"/>
    <col min="9556" max="9556" width="10.42578125" style="2" customWidth="1"/>
    <col min="9557" max="9557" width="9.85546875" style="2" customWidth="1"/>
    <col min="9558" max="9558" width="10.7109375" style="2" customWidth="1"/>
    <col min="9559" max="9559" width="10.140625" style="2" customWidth="1"/>
    <col min="9560" max="9560" width="10.28515625" style="2" customWidth="1"/>
    <col min="9561" max="9561" width="9" style="2" customWidth="1"/>
    <col min="9562" max="9562" width="11.140625" style="2" customWidth="1"/>
    <col min="9563" max="9563" width="10.28515625" style="2" customWidth="1"/>
    <col min="9564" max="9564" width="9.42578125" style="2" customWidth="1"/>
    <col min="9565" max="9565" width="10.42578125" style="2" customWidth="1"/>
    <col min="9566" max="9566" width="9.42578125" style="2" customWidth="1"/>
    <col min="9567" max="9567" width="9" style="2" customWidth="1"/>
    <col min="9568" max="9568" width="10.28515625" style="2" customWidth="1"/>
    <col min="9569" max="9569" width="8.42578125" style="2" customWidth="1"/>
    <col min="9570" max="9570" width="9.7109375" style="2" customWidth="1"/>
    <col min="9571" max="9571" width="8.7109375" style="2" customWidth="1"/>
    <col min="9572" max="9572" width="9.42578125" style="2" customWidth="1"/>
    <col min="9573" max="9573" width="10.85546875" style="2" customWidth="1"/>
    <col min="9574" max="9574" width="9.7109375" style="2" customWidth="1"/>
    <col min="9575" max="9575" width="11.42578125" style="2" customWidth="1"/>
    <col min="9576" max="9576" width="11" style="2" customWidth="1"/>
    <col min="9577" max="9577" width="9.42578125" style="2" customWidth="1"/>
    <col min="9578" max="9578" width="10.28515625" style="2" customWidth="1"/>
    <col min="9579" max="9579" width="10.42578125" style="2" customWidth="1"/>
    <col min="9580" max="9580" width="10.28515625" style="2" customWidth="1"/>
    <col min="9581" max="9582" width="9.140625" style="2" bestFit="1" customWidth="1"/>
    <col min="9583" max="9583" width="10" style="2" customWidth="1"/>
    <col min="9584" max="9584" width="9.140625" style="2" customWidth="1"/>
    <col min="9585" max="9585" width="9.85546875" style="2" customWidth="1"/>
    <col min="9586" max="9586" width="9.5703125" style="2" customWidth="1"/>
    <col min="9587" max="9587" width="10.85546875" style="2" customWidth="1"/>
    <col min="9588" max="9588" width="10.5703125" style="2" customWidth="1"/>
    <col min="9589" max="9589" width="10.28515625" style="2" customWidth="1"/>
    <col min="9590" max="9590" width="9.5703125" style="2" customWidth="1"/>
    <col min="9591" max="9591" width="9.28515625" style="2" customWidth="1"/>
    <col min="9592" max="9592" width="10.28515625" style="2" customWidth="1"/>
    <col min="9593" max="9593" width="10" style="2" customWidth="1"/>
    <col min="9594" max="9594" width="9" style="2" customWidth="1"/>
    <col min="9595" max="9595" width="10.42578125" style="2" customWidth="1"/>
    <col min="9596" max="9597" width="9.85546875" style="2" customWidth="1"/>
    <col min="9598" max="9598" width="10" style="2" customWidth="1"/>
    <col min="9599" max="9599" width="8.28515625" style="2" customWidth="1"/>
    <col min="9600" max="9600" width="9.85546875" style="2" customWidth="1"/>
    <col min="9601" max="9601" width="11.5703125" style="2" customWidth="1"/>
    <col min="9602" max="9602" width="9.140625" style="2" bestFit="1" customWidth="1"/>
    <col min="9603" max="9603" width="10" style="2" customWidth="1"/>
    <col min="9604" max="9604" width="8" style="2" customWidth="1"/>
    <col min="9605" max="9605" width="11.28515625" style="2" customWidth="1"/>
    <col min="9606" max="9608" width="10.140625" style="2" bestFit="1" customWidth="1"/>
    <col min="9609" max="9609" width="12.28515625" style="2" customWidth="1"/>
    <col min="9610" max="9611" width="5.7109375" style="2"/>
    <col min="9612" max="9612" width="10.28515625" style="2" bestFit="1" customWidth="1"/>
    <col min="9613" max="9618" width="5.7109375" style="2"/>
    <col min="9619" max="9619" width="22" style="2" customWidth="1"/>
    <col min="9620" max="9620" width="16" style="2" customWidth="1"/>
    <col min="9621" max="9621" width="7.140625" style="2" bestFit="1" customWidth="1"/>
    <col min="9622" max="9622" width="9.28515625" style="2" bestFit="1" customWidth="1"/>
    <col min="9623" max="9683" width="5.7109375" style="2"/>
    <col min="9684" max="9684" width="29.42578125" style="2" customWidth="1"/>
    <col min="9685" max="9685" width="4.7109375" style="2" customWidth="1"/>
    <col min="9686" max="9687" width="9.7109375" style="2" customWidth="1"/>
    <col min="9688" max="9688" width="9.42578125" style="2" customWidth="1"/>
    <col min="9689" max="9689" width="9.140625" style="2" customWidth="1"/>
    <col min="9690" max="9690" width="8.85546875" style="2" customWidth="1"/>
    <col min="9691" max="9691" width="9.7109375" style="2" customWidth="1"/>
    <col min="9692" max="9692" width="8.140625" style="2" customWidth="1"/>
    <col min="9693" max="9693" width="10.42578125" style="2" customWidth="1"/>
    <col min="9694" max="9694" width="9.140625" style="2" customWidth="1"/>
    <col min="9695" max="9695" width="9.85546875" style="2" customWidth="1"/>
    <col min="9696" max="9696" width="9.42578125" style="2" customWidth="1"/>
    <col min="9697" max="9697" width="9.5703125" style="2" customWidth="1"/>
    <col min="9698" max="9698" width="9.28515625" style="2" customWidth="1"/>
    <col min="9699" max="9699" width="9.140625" style="2" customWidth="1"/>
    <col min="9700" max="9700" width="9.28515625" style="2" bestFit="1" customWidth="1"/>
    <col min="9701" max="9701" width="10.5703125" style="2" customWidth="1"/>
    <col min="9702" max="9702" width="7.7109375" style="2" customWidth="1"/>
    <col min="9703" max="9703" width="9.140625" style="2" customWidth="1"/>
    <col min="9704" max="9704" width="7.85546875" style="2" customWidth="1"/>
    <col min="9705" max="9705" width="8.7109375" style="2" customWidth="1"/>
    <col min="9706" max="9706" width="9.42578125" style="2" customWidth="1"/>
    <col min="9707" max="9707" width="10.28515625" style="2" customWidth="1"/>
    <col min="9708" max="9708" width="9.85546875" style="2" customWidth="1"/>
    <col min="9709" max="9709" width="10.140625" style="2" customWidth="1"/>
    <col min="9710" max="9711" width="8.140625" style="2" customWidth="1"/>
    <col min="9712" max="9713" width="7.85546875" style="2" customWidth="1"/>
    <col min="9714" max="9714" width="9.140625" style="2" customWidth="1"/>
    <col min="9715" max="9715" width="9.7109375" style="2" customWidth="1"/>
    <col min="9716" max="9716" width="8.28515625" style="2" customWidth="1"/>
    <col min="9717" max="9717" width="9.140625" style="2" customWidth="1"/>
    <col min="9718" max="9718" width="10" style="2" customWidth="1"/>
    <col min="9719" max="9719" width="10.28515625" style="2" customWidth="1"/>
    <col min="9720" max="9720" width="9.85546875" style="2" customWidth="1"/>
    <col min="9721" max="9721" width="9.42578125" style="2" customWidth="1"/>
    <col min="9722" max="9722" width="9.7109375" style="2" customWidth="1"/>
    <col min="9723" max="9723" width="9.42578125" style="2" customWidth="1"/>
    <col min="9724" max="9724" width="9.28515625" style="2" customWidth="1"/>
    <col min="9725" max="9725" width="10.5703125" style="2" customWidth="1"/>
    <col min="9726" max="9727" width="8.85546875" style="2" customWidth="1"/>
    <col min="9728" max="9728" width="8.28515625" style="2" customWidth="1"/>
    <col min="9729" max="9729" width="8.85546875" style="2" customWidth="1"/>
    <col min="9730" max="9730" width="9.5703125" style="2" customWidth="1"/>
    <col min="9731" max="9731" width="8.42578125" style="2" customWidth="1"/>
    <col min="9732" max="9732" width="9.5703125" style="2" customWidth="1"/>
    <col min="9733" max="9733" width="8.28515625" style="2" customWidth="1"/>
    <col min="9734" max="9734" width="9.28515625" style="2" customWidth="1"/>
    <col min="9735" max="9735" width="9.85546875" style="2" customWidth="1"/>
    <col min="9736" max="9736" width="10.28515625" style="2" customWidth="1"/>
    <col min="9737" max="9737" width="10.42578125" style="2" customWidth="1"/>
    <col min="9738" max="9738" width="9.5703125" style="2" customWidth="1"/>
    <col min="9739" max="9739" width="10.140625" style="2" customWidth="1"/>
    <col min="9740" max="9740" width="9.5703125" style="2" customWidth="1"/>
    <col min="9741" max="9741" width="10.28515625" style="2" customWidth="1"/>
    <col min="9742" max="9742" width="10" style="2" customWidth="1"/>
    <col min="9743" max="9743" width="9.140625" style="2" customWidth="1"/>
    <col min="9744" max="9744" width="10.5703125" style="2" customWidth="1"/>
    <col min="9745" max="9745" width="9.28515625" style="2" customWidth="1"/>
    <col min="9746" max="9747" width="9.42578125" style="2" customWidth="1"/>
    <col min="9748" max="9748" width="9" style="2" customWidth="1"/>
    <col min="9749" max="9749" width="11" style="2" customWidth="1"/>
    <col min="9750" max="9750" width="9.28515625" style="2" customWidth="1"/>
    <col min="9751" max="9751" width="9.7109375" style="2" customWidth="1"/>
    <col min="9752" max="9752" width="10.85546875" style="2" customWidth="1"/>
    <col min="9753" max="9753" width="10.5703125" style="2" customWidth="1"/>
    <col min="9754" max="9754" width="10.28515625" style="2" customWidth="1"/>
    <col min="9755" max="9755" width="9.85546875" style="2" customWidth="1"/>
    <col min="9756" max="9756" width="10.28515625" style="2" customWidth="1"/>
    <col min="9757" max="9757" width="9" style="2" customWidth="1"/>
    <col min="9758" max="9758" width="9.85546875" style="2" customWidth="1"/>
    <col min="9759" max="9759" width="9.42578125" style="2" customWidth="1"/>
    <col min="9760" max="9760" width="9.140625" style="2" customWidth="1"/>
    <col min="9761" max="9761" width="11" style="2" customWidth="1"/>
    <col min="9762" max="9762" width="9.28515625" style="2" customWidth="1"/>
    <col min="9763" max="9763" width="9.5703125" style="2" customWidth="1"/>
    <col min="9764" max="9764" width="10.42578125" style="2" customWidth="1"/>
    <col min="9765" max="9765" width="9" style="2" customWidth="1"/>
    <col min="9766" max="9766" width="9.7109375" style="2" customWidth="1"/>
    <col min="9767" max="9767" width="10" style="2" customWidth="1"/>
    <col min="9768" max="9768" width="10.7109375" style="2" customWidth="1"/>
    <col min="9769" max="9769" width="9.42578125" style="2" customWidth="1"/>
    <col min="9770" max="9770" width="10.28515625" style="2" customWidth="1"/>
    <col min="9771" max="9771" width="9.5703125" style="2" customWidth="1"/>
    <col min="9772" max="9772" width="10" style="2" customWidth="1"/>
    <col min="9773" max="9773" width="9" style="2" customWidth="1"/>
    <col min="9774" max="9774" width="10.5703125" style="2" customWidth="1"/>
    <col min="9775" max="9775" width="11.28515625" style="2" customWidth="1"/>
    <col min="9776" max="9776" width="10.5703125" style="2" customWidth="1"/>
    <col min="9777" max="9777" width="9.7109375" style="2" customWidth="1"/>
    <col min="9778" max="9778" width="9.5703125" style="2" customWidth="1"/>
    <col min="9779" max="9779" width="10.5703125" style="2" customWidth="1"/>
    <col min="9780" max="9780" width="10.42578125" style="2" customWidth="1"/>
    <col min="9781" max="9781" width="9.85546875" style="2" customWidth="1"/>
    <col min="9782" max="9782" width="10.5703125" style="2" bestFit="1" customWidth="1"/>
    <col min="9783" max="9785" width="10.140625" style="2" bestFit="1" customWidth="1"/>
    <col min="9786" max="9786" width="8.85546875" style="2" customWidth="1"/>
    <col min="9787" max="9787" width="9.140625" style="2" bestFit="1" customWidth="1"/>
    <col min="9788" max="9789" width="10.140625" style="2" customWidth="1"/>
    <col min="9790" max="9790" width="10" style="2" customWidth="1"/>
    <col min="9791" max="9791" width="8.28515625" style="2" customWidth="1"/>
    <col min="9792" max="9792" width="9" style="2" customWidth="1"/>
    <col min="9793" max="9793" width="10.5703125" style="2" customWidth="1"/>
    <col min="9794" max="9794" width="10.140625" style="2" customWidth="1"/>
    <col min="9795" max="9795" width="9.7109375" style="2" customWidth="1"/>
    <col min="9796" max="9796" width="9.140625" style="2" customWidth="1"/>
    <col min="9797" max="9797" width="10.140625" style="2" customWidth="1"/>
    <col min="9798" max="9798" width="9" style="2" customWidth="1"/>
    <col min="9799" max="9799" width="9.28515625" style="2" customWidth="1"/>
    <col min="9800" max="9800" width="11" style="2" customWidth="1"/>
    <col min="9801" max="9801" width="10.140625" style="2" customWidth="1"/>
    <col min="9802" max="9802" width="10.7109375" style="2" customWidth="1"/>
    <col min="9803" max="9803" width="9.85546875" style="2" customWidth="1"/>
    <col min="9804" max="9804" width="11" style="2" customWidth="1"/>
    <col min="9805" max="9805" width="10" style="2" customWidth="1"/>
    <col min="9806" max="9806" width="9.140625" style="2" customWidth="1"/>
    <col min="9807" max="9807" width="10.28515625" style="2" customWidth="1"/>
    <col min="9808" max="9808" width="10.5703125" style="2" customWidth="1"/>
    <col min="9809" max="9809" width="9.85546875" style="2" customWidth="1"/>
    <col min="9810" max="9810" width="10.7109375" style="2" customWidth="1"/>
    <col min="9811" max="9811" width="9.42578125" style="2" customWidth="1"/>
    <col min="9812" max="9812" width="10.42578125" style="2" customWidth="1"/>
    <col min="9813" max="9813" width="9.85546875" style="2" customWidth="1"/>
    <col min="9814" max="9814" width="10.7109375" style="2" customWidth="1"/>
    <col min="9815" max="9815" width="10.140625" style="2" customWidth="1"/>
    <col min="9816" max="9816" width="10.28515625" style="2" customWidth="1"/>
    <col min="9817" max="9817" width="9" style="2" customWidth="1"/>
    <col min="9818" max="9818" width="11.140625" style="2" customWidth="1"/>
    <col min="9819" max="9819" width="10.28515625" style="2" customWidth="1"/>
    <col min="9820" max="9820" width="9.42578125" style="2" customWidth="1"/>
    <col min="9821" max="9821" width="10.42578125" style="2" customWidth="1"/>
    <col min="9822" max="9822" width="9.42578125" style="2" customWidth="1"/>
    <col min="9823" max="9823" width="9" style="2" customWidth="1"/>
    <col min="9824" max="9824" width="10.28515625" style="2" customWidth="1"/>
    <col min="9825" max="9825" width="8.42578125" style="2" customWidth="1"/>
    <col min="9826" max="9826" width="9.7109375" style="2" customWidth="1"/>
    <col min="9827" max="9827" width="8.7109375" style="2" customWidth="1"/>
    <col min="9828" max="9828" width="9.42578125" style="2" customWidth="1"/>
    <col min="9829" max="9829" width="10.85546875" style="2" customWidth="1"/>
    <col min="9830" max="9830" width="9.7109375" style="2" customWidth="1"/>
    <col min="9831" max="9831" width="11.42578125" style="2" customWidth="1"/>
    <col min="9832" max="9832" width="11" style="2" customWidth="1"/>
    <col min="9833" max="9833" width="9.42578125" style="2" customWidth="1"/>
    <col min="9834" max="9834" width="10.28515625" style="2" customWidth="1"/>
    <col min="9835" max="9835" width="10.42578125" style="2" customWidth="1"/>
    <col min="9836" max="9836" width="10.28515625" style="2" customWidth="1"/>
    <col min="9837" max="9838" width="9.140625" style="2" bestFit="1" customWidth="1"/>
    <col min="9839" max="9839" width="10" style="2" customWidth="1"/>
    <col min="9840" max="9840" width="9.140625" style="2" customWidth="1"/>
    <col min="9841" max="9841" width="9.85546875" style="2" customWidth="1"/>
    <col min="9842" max="9842" width="9.5703125" style="2" customWidth="1"/>
    <col min="9843" max="9843" width="10.85546875" style="2" customWidth="1"/>
    <col min="9844" max="9844" width="10.5703125" style="2" customWidth="1"/>
    <col min="9845" max="9845" width="10.28515625" style="2" customWidth="1"/>
    <col min="9846" max="9846" width="9.5703125" style="2" customWidth="1"/>
    <col min="9847" max="9847" width="9.28515625" style="2" customWidth="1"/>
    <col min="9848" max="9848" width="10.28515625" style="2" customWidth="1"/>
    <col min="9849" max="9849" width="10" style="2" customWidth="1"/>
    <col min="9850" max="9850" width="9" style="2" customWidth="1"/>
    <col min="9851" max="9851" width="10.42578125" style="2" customWidth="1"/>
    <col min="9852" max="9853" width="9.85546875" style="2" customWidth="1"/>
    <col min="9854" max="9854" width="10" style="2" customWidth="1"/>
    <col min="9855" max="9855" width="8.28515625" style="2" customWidth="1"/>
    <col min="9856" max="9856" width="9.85546875" style="2" customWidth="1"/>
    <col min="9857" max="9857" width="11.5703125" style="2" customWidth="1"/>
    <col min="9858" max="9858" width="9.140625" style="2" bestFit="1" customWidth="1"/>
    <col min="9859" max="9859" width="10" style="2" customWidth="1"/>
    <col min="9860" max="9860" width="8" style="2" customWidth="1"/>
    <col min="9861" max="9861" width="11.28515625" style="2" customWidth="1"/>
    <col min="9862" max="9864" width="10.140625" style="2" bestFit="1" customWidth="1"/>
    <col min="9865" max="9865" width="12.28515625" style="2" customWidth="1"/>
    <col min="9866" max="9867" width="5.7109375" style="2"/>
    <col min="9868" max="9868" width="10.28515625" style="2" bestFit="1" customWidth="1"/>
    <col min="9869" max="9874" width="5.7109375" style="2"/>
    <col min="9875" max="9875" width="22" style="2" customWidth="1"/>
    <col min="9876" max="9876" width="16" style="2" customWidth="1"/>
    <col min="9877" max="9877" width="7.140625" style="2" bestFit="1" customWidth="1"/>
    <col min="9878" max="9878" width="9.28515625" style="2" bestFit="1" customWidth="1"/>
    <col min="9879" max="9939" width="5.7109375" style="2"/>
    <col min="9940" max="9940" width="29.42578125" style="2" customWidth="1"/>
    <col min="9941" max="9941" width="4.7109375" style="2" customWidth="1"/>
    <col min="9942" max="9943" width="9.7109375" style="2" customWidth="1"/>
    <col min="9944" max="9944" width="9.42578125" style="2" customWidth="1"/>
    <col min="9945" max="9945" width="9.140625" style="2" customWidth="1"/>
    <col min="9946" max="9946" width="8.85546875" style="2" customWidth="1"/>
    <col min="9947" max="9947" width="9.7109375" style="2" customWidth="1"/>
    <col min="9948" max="9948" width="8.140625" style="2" customWidth="1"/>
    <col min="9949" max="9949" width="10.42578125" style="2" customWidth="1"/>
    <col min="9950" max="9950" width="9.140625" style="2" customWidth="1"/>
    <col min="9951" max="9951" width="9.85546875" style="2" customWidth="1"/>
    <col min="9952" max="9952" width="9.42578125" style="2" customWidth="1"/>
    <col min="9953" max="9953" width="9.5703125" style="2" customWidth="1"/>
    <col min="9954" max="9954" width="9.28515625" style="2" customWidth="1"/>
    <col min="9955" max="9955" width="9.140625" style="2" customWidth="1"/>
    <col min="9956" max="9956" width="9.28515625" style="2" bestFit="1" customWidth="1"/>
    <col min="9957" max="9957" width="10.5703125" style="2" customWidth="1"/>
    <col min="9958" max="9958" width="7.7109375" style="2" customWidth="1"/>
    <col min="9959" max="9959" width="9.140625" style="2" customWidth="1"/>
    <col min="9960" max="9960" width="7.85546875" style="2" customWidth="1"/>
    <col min="9961" max="9961" width="8.7109375" style="2" customWidth="1"/>
    <col min="9962" max="9962" width="9.42578125" style="2" customWidth="1"/>
    <col min="9963" max="9963" width="10.28515625" style="2" customWidth="1"/>
    <col min="9964" max="9964" width="9.85546875" style="2" customWidth="1"/>
    <col min="9965" max="9965" width="10.140625" style="2" customWidth="1"/>
    <col min="9966" max="9967" width="8.140625" style="2" customWidth="1"/>
    <col min="9968" max="9969" width="7.85546875" style="2" customWidth="1"/>
    <col min="9970" max="9970" width="9.140625" style="2" customWidth="1"/>
    <col min="9971" max="9971" width="9.7109375" style="2" customWidth="1"/>
    <col min="9972" max="9972" width="8.28515625" style="2" customWidth="1"/>
    <col min="9973" max="9973" width="9.140625" style="2" customWidth="1"/>
    <col min="9974" max="9974" width="10" style="2" customWidth="1"/>
    <col min="9975" max="9975" width="10.28515625" style="2" customWidth="1"/>
    <col min="9976" max="9976" width="9.85546875" style="2" customWidth="1"/>
    <col min="9977" max="9977" width="9.42578125" style="2" customWidth="1"/>
    <col min="9978" max="9978" width="9.7109375" style="2" customWidth="1"/>
    <col min="9979" max="9979" width="9.42578125" style="2" customWidth="1"/>
    <col min="9980" max="9980" width="9.28515625" style="2" customWidth="1"/>
    <col min="9981" max="9981" width="10.5703125" style="2" customWidth="1"/>
    <col min="9982" max="9983" width="8.85546875" style="2" customWidth="1"/>
    <col min="9984" max="9984" width="8.28515625" style="2" customWidth="1"/>
    <col min="9985" max="9985" width="8.85546875" style="2" customWidth="1"/>
    <col min="9986" max="9986" width="9.5703125" style="2" customWidth="1"/>
    <col min="9987" max="9987" width="8.42578125" style="2" customWidth="1"/>
    <col min="9988" max="9988" width="9.5703125" style="2" customWidth="1"/>
    <col min="9989" max="9989" width="8.28515625" style="2" customWidth="1"/>
    <col min="9990" max="9990" width="9.28515625" style="2" customWidth="1"/>
    <col min="9991" max="9991" width="9.85546875" style="2" customWidth="1"/>
    <col min="9992" max="9992" width="10.28515625" style="2" customWidth="1"/>
    <col min="9993" max="9993" width="10.42578125" style="2" customWidth="1"/>
    <col min="9994" max="9994" width="9.5703125" style="2" customWidth="1"/>
    <col min="9995" max="9995" width="10.140625" style="2" customWidth="1"/>
    <col min="9996" max="9996" width="9.5703125" style="2" customWidth="1"/>
    <col min="9997" max="9997" width="10.28515625" style="2" customWidth="1"/>
    <col min="9998" max="9998" width="10" style="2" customWidth="1"/>
    <col min="9999" max="9999" width="9.140625" style="2" customWidth="1"/>
    <col min="10000" max="10000" width="10.5703125" style="2" customWidth="1"/>
    <col min="10001" max="10001" width="9.28515625" style="2" customWidth="1"/>
    <col min="10002" max="10003" width="9.42578125" style="2" customWidth="1"/>
    <col min="10004" max="10004" width="9" style="2" customWidth="1"/>
    <col min="10005" max="10005" width="11" style="2" customWidth="1"/>
    <col min="10006" max="10006" width="9.28515625" style="2" customWidth="1"/>
    <col min="10007" max="10007" width="9.7109375" style="2" customWidth="1"/>
    <col min="10008" max="10008" width="10.85546875" style="2" customWidth="1"/>
    <col min="10009" max="10009" width="10.5703125" style="2" customWidth="1"/>
    <col min="10010" max="10010" width="10.28515625" style="2" customWidth="1"/>
    <col min="10011" max="10011" width="9.85546875" style="2" customWidth="1"/>
    <col min="10012" max="10012" width="10.28515625" style="2" customWidth="1"/>
    <col min="10013" max="10013" width="9" style="2" customWidth="1"/>
    <col min="10014" max="10014" width="9.85546875" style="2" customWidth="1"/>
    <col min="10015" max="10015" width="9.42578125" style="2" customWidth="1"/>
    <col min="10016" max="10016" width="9.140625" style="2" customWidth="1"/>
    <col min="10017" max="10017" width="11" style="2" customWidth="1"/>
    <col min="10018" max="10018" width="9.28515625" style="2" customWidth="1"/>
    <col min="10019" max="10019" width="9.5703125" style="2" customWidth="1"/>
    <col min="10020" max="10020" width="10.42578125" style="2" customWidth="1"/>
    <col min="10021" max="10021" width="9" style="2" customWidth="1"/>
    <col min="10022" max="10022" width="9.7109375" style="2" customWidth="1"/>
    <col min="10023" max="10023" width="10" style="2" customWidth="1"/>
    <col min="10024" max="10024" width="10.7109375" style="2" customWidth="1"/>
    <col min="10025" max="10025" width="9.42578125" style="2" customWidth="1"/>
    <col min="10026" max="10026" width="10.28515625" style="2" customWidth="1"/>
    <col min="10027" max="10027" width="9.5703125" style="2" customWidth="1"/>
    <col min="10028" max="10028" width="10" style="2" customWidth="1"/>
    <col min="10029" max="10029" width="9" style="2" customWidth="1"/>
    <col min="10030" max="10030" width="10.5703125" style="2" customWidth="1"/>
    <col min="10031" max="10031" width="11.28515625" style="2" customWidth="1"/>
    <col min="10032" max="10032" width="10.5703125" style="2" customWidth="1"/>
    <col min="10033" max="10033" width="9.7109375" style="2" customWidth="1"/>
    <col min="10034" max="10034" width="9.5703125" style="2" customWidth="1"/>
    <col min="10035" max="10035" width="10.5703125" style="2" customWidth="1"/>
    <col min="10036" max="10036" width="10.42578125" style="2" customWidth="1"/>
    <col min="10037" max="10037" width="9.85546875" style="2" customWidth="1"/>
    <col min="10038" max="10038" width="10.5703125" style="2" bestFit="1" customWidth="1"/>
    <col min="10039" max="10041" width="10.140625" style="2" bestFit="1" customWidth="1"/>
    <col min="10042" max="10042" width="8.85546875" style="2" customWidth="1"/>
    <col min="10043" max="10043" width="9.140625" style="2" bestFit="1" customWidth="1"/>
    <col min="10044" max="10045" width="10.140625" style="2" customWidth="1"/>
    <col min="10046" max="10046" width="10" style="2" customWidth="1"/>
    <col min="10047" max="10047" width="8.28515625" style="2" customWidth="1"/>
    <col min="10048" max="10048" width="9" style="2" customWidth="1"/>
    <col min="10049" max="10049" width="10.5703125" style="2" customWidth="1"/>
    <col min="10050" max="10050" width="10.140625" style="2" customWidth="1"/>
    <col min="10051" max="10051" width="9.7109375" style="2" customWidth="1"/>
    <col min="10052" max="10052" width="9.140625" style="2" customWidth="1"/>
    <col min="10053" max="10053" width="10.140625" style="2" customWidth="1"/>
    <col min="10054" max="10054" width="9" style="2" customWidth="1"/>
    <col min="10055" max="10055" width="9.28515625" style="2" customWidth="1"/>
    <col min="10056" max="10056" width="11" style="2" customWidth="1"/>
    <col min="10057" max="10057" width="10.140625" style="2" customWidth="1"/>
    <col min="10058" max="10058" width="10.7109375" style="2" customWidth="1"/>
    <col min="10059" max="10059" width="9.85546875" style="2" customWidth="1"/>
    <col min="10060" max="10060" width="11" style="2" customWidth="1"/>
    <col min="10061" max="10061" width="10" style="2" customWidth="1"/>
    <col min="10062" max="10062" width="9.140625" style="2" customWidth="1"/>
    <col min="10063" max="10063" width="10.28515625" style="2" customWidth="1"/>
    <col min="10064" max="10064" width="10.5703125" style="2" customWidth="1"/>
    <col min="10065" max="10065" width="9.85546875" style="2" customWidth="1"/>
    <col min="10066" max="10066" width="10.7109375" style="2" customWidth="1"/>
    <col min="10067" max="10067" width="9.42578125" style="2" customWidth="1"/>
    <col min="10068" max="10068" width="10.42578125" style="2" customWidth="1"/>
    <col min="10069" max="10069" width="9.85546875" style="2" customWidth="1"/>
    <col min="10070" max="10070" width="10.7109375" style="2" customWidth="1"/>
    <col min="10071" max="10071" width="10.140625" style="2" customWidth="1"/>
    <col min="10072" max="10072" width="10.28515625" style="2" customWidth="1"/>
    <col min="10073" max="10073" width="9" style="2" customWidth="1"/>
    <col min="10074" max="10074" width="11.140625" style="2" customWidth="1"/>
    <col min="10075" max="10075" width="10.28515625" style="2" customWidth="1"/>
    <col min="10076" max="10076" width="9.42578125" style="2" customWidth="1"/>
    <col min="10077" max="10077" width="10.42578125" style="2" customWidth="1"/>
    <col min="10078" max="10078" width="9.42578125" style="2" customWidth="1"/>
    <col min="10079" max="10079" width="9" style="2" customWidth="1"/>
    <col min="10080" max="10080" width="10.28515625" style="2" customWidth="1"/>
    <col min="10081" max="10081" width="8.42578125" style="2" customWidth="1"/>
    <col min="10082" max="10082" width="9.7109375" style="2" customWidth="1"/>
    <col min="10083" max="10083" width="8.7109375" style="2" customWidth="1"/>
    <col min="10084" max="10084" width="9.42578125" style="2" customWidth="1"/>
    <col min="10085" max="10085" width="10.85546875" style="2" customWidth="1"/>
    <col min="10086" max="10086" width="9.7109375" style="2" customWidth="1"/>
    <col min="10087" max="10087" width="11.42578125" style="2" customWidth="1"/>
    <col min="10088" max="10088" width="11" style="2" customWidth="1"/>
    <col min="10089" max="10089" width="9.42578125" style="2" customWidth="1"/>
    <col min="10090" max="10090" width="10.28515625" style="2" customWidth="1"/>
    <col min="10091" max="10091" width="10.42578125" style="2" customWidth="1"/>
    <col min="10092" max="10092" width="10.28515625" style="2" customWidth="1"/>
    <col min="10093" max="10094" width="9.140625" style="2" bestFit="1" customWidth="1"/>
    <col min="10095" max="10095" width="10" style="2" customWidth="1"/>
    <col min="10096" max="10096" width="9.140625" style="2" customWidth="1"/>
    <col min="10097" max="10097" width="9.85546875" style="2" customWidth="1"/>
    <col min="10098" max="10098" width="9.5703125" style="2" customWidth="1"/>
    <col min="10099" max="10099" width="10.85546875" style="2" customWidth="1"/>
    <col min="10100" max="10100" width="10.5703125" style="2" customWidth="1"/>
    <col min="10101" max="10101" width="10.28515625" style="2" customWidth="1"/>
    <col min="10102" max="10102" width="9.5703125" style="2" customWidth="1"/>
    <col min="10103" max="10103" width="9.28515625" style="2" customWidth="1"/>
    <col min="10104" max="10104" width="10.28515625" style="2" customWidth="1"/>
    <col min="10105" max="10105" width="10" style="2" customWidth="1"/>
    <col min="10106" max="10106" width="9" style="2" customWidth="1"/>
    <col min="10107" max="10107" width="10.42578125" style="2" customWidth="1"/>
    <col min="10108" max="10109" width="9.85546875" style="2" customWidth="1"/>
    <col min="10110" max="10110" width="10" style="2" customWidth="1"/>
    <col min="10111" max="10111" width="8.28515625" style="2" customWidth="1"/>
    <col min="10112" max="10112" width="9.85546875" style="2" customWidth="1"/>
    <col min="10113" max="10113" width="11.5703125" style="2" customWidth="1"/>
    <col min="10114" max="10114" width="9.140625" style="2" bestFit="1" customWidth="1"/>
    <col min="10115" max="10115" width="10" style="2" customWidth="1"/>
    <col min="10116" max="10116" width="8" style="2" customWidth="1"/>
    <col min="10117" max="10117" width="11.28515625" style="2" customWidth="1"/>
    <col min="10118" max="10120" width="10.140625" style="2" bestFit="1" customWidth="1"/>
    <col min="10121" max="10121" width="12.28515625" style="2" customWidth="1"/>
    <col min="10122" max="10123" width="5.7109375" style="2"/>
    <col min="10124" max="10124" width="10.28515625" style="2" bestFit="1" customWidth="1"/>
    <col min="10125" max="10130" width="5.7109375" style="2"/>
    <col min="10131" max="10131" width="22" style="2" customWidth="1"/>
    <col min="10132" max="10132" width="16" style="2" customWidth="1"/>
    <col min="10133" max="10133" width="7.140625" style="2" bestFit="1" customWidth="1"/>
    <col min="10134" max="10134" width="9.28515625" style="2" bestFit="1" customWidth="1"/>
    <col min="10135" max="10195" width="5.7109375" style="2"/>
    <col min="10196" max="10196" width="29.42578125" style="2" customWidth="1"/>
    <col min="10197" max="10197" width="4.7109375" style="2" customWidth="1"/>
    <col min="10198" max="10199" width="9.7109375" style="2" customWidth="1"/>
    <col min="10200" max="10200" width="9.42578125" style="2" customWidth="1"/>
    <col min="10201" max="10201" width="9.140625" style="2" customWidth="1"/>
    <col min="10202" max="10202" width="8.85546875" style="2" customWidth="1"/>
    <col min="10203" max="10203" width="9.7109375" style="2" customWidth="1"/>
    <col min="10204" max="10204" width="8.140625" style="2" customWidth="1"/>
    <col min="10205" max="10205" width="10.42578125" style="2" customWidth="1"/>
    <col min="10206" max="10206" width="9.140625" style="2" customWidth="1"/>
    <col min="10207" max="10207" width="9.85546875" style="2" customWidth="1"/>
    <col min="10208" max="10208" width="9.42578125" style="2" customWidth="1"/>
    <col min="10209" max="10209" width="9.5703125" style="2" customWidth="1"/>
    <col min="10210" max="10210" width="9.28515625" style="2" customWidth="1"/>
    <col min="10211" max="10211" width="9.140625" style="2" customWidth="1"/>
    <col min="10212" max="10212" width="9.28515625" style="2" bestFit="1" customWidth="1"/>
    <col min="10213" max="10213" width="10.5703125" style="2" customWidth="1"/>
    <col min="10214" max="10214" width="7.7109375" style="2" customWidth="1"/>
    <col min="10215" max="10215" width="9.140625" style="2" customWidth="1"/>
    <col min="10216" max="10216" width="7.85546875" style="2" customWidth="1"/>
    <col min="10217" max="10217" width="8.7109375" style="2" customWidth="1"/>
    <col min="10218" max="10218" width="9.42578125" style="2" customWidth="1"/>
    <col min="10219" max="10219" width="10.28515625" style="2" customWidth="1"/>
    <col min="10220" max="10220" width="9.85546875" style="2" customWidth="1"/>
    <col min="10221" max="10221" width="10.140625" style="2" customWidth="1"/>
    <col min="10222" max="10223" width="8.140625" style="2" customWidth="1"/>
    <col min="10224" max="10225" width="7.85546875" style="2" customWidth="1"/>
    <col min="10226" max="10226" width="9.140625" style="2" customWidth="1"/>
    <col min="10227" max="10227" width="9.7109375" style="2" customWidth="1"/>
    <col min="10228" max="10228" width="8.28515625" style="2" customWidth="1"/>
    <col min="10229" max="10229" width="9.140625" style="2" customWidth="1"/>
    <col min="10230" max="10230" width="10" style="2" customWidth="1"/>
    <col min="10231" max="10231" width="10.28515625" style="2" customWidth="1"/>
    <col min="10232" max="10232" width="9.85546875" style="2" customWidth="1"/>
    <col min="10233" max="10233" width="9.42578125" style="2" customWidth="1"/>
    <col min="10234" max="10234" width="9.7109375" style="2" customWidth="1"/>
    <col min="10235" max="10235" width="9.42578125" style="2" customWidth="1"/>
    <col min="10236" max="10236" width="9.28515625" style="2" customWidth="1"/>
    <col min="10237" max="10237" width="10.5703125" style="2" customWidth="1"/>
    <col min="10238" max="10239" width="8.85546875" style="2" customWidth="1"/>
    <col min="10240" max="10240" width="8.28515625" style="2" customWidth="1"/>
    <col min="10241" max="10241" width="8.85546875" style="2" customWidth="1"/>
    <col min="10242" max="10242" width="9.5703125" style="2" customWidth="1"/>
    <col min="10243" max="10243" width="8.42578125" style="2" customWidth="1"/>
    <col min="10244" max="10244" width="9.5703125" style="2" customWidth="1"/>
    <col min="10245" max="10245" width="8.28515625" style="2" customWidth="1"/>
    <col min="10246" max="10246" width="9.28515625" style="2" customWidth="1"/>
    <col min="10247" max="10247" width="9.85546875" style="2" customWidth="1"/>
    <col min="10248" max="10248" width="10.28515625" style="2" customWidth="1"/>
    <col min="10249" max="10249" width="10.42578125" style="2" customWidth="1"/>
    <col min="10250" max="10250" width="9.5703125" style="2" customWidth="1"/>
    <col min="10251" max="10251" width="10.140625" style="2" customWidth="1"/>
    <col min="10252" max="10252" width="9.5703125" style="2" customWidth="1"/>
    <col min="10253" max="10253" width="10.28515625" style="2" customWidth="1"/>
    <col min="10254" max="10254" width="10" style="2" customWidth="1"/>
    <col min="10255" max="10255" width="9.140625" style="2" customWidth="1"/>
    <col min="10256" max="10256" width="10.5703125" style="2" customWidth="1"/>
    <col min="10257" max="10257" width="9.28515625" style="2" customWidth="1"/>
    <col min="10258" max="10259" width="9.42578125" style="2" customWidth="1"/>
    <col min="10260" max="10260" width="9" style="2" customWidth="1"/>
    <col min="10261" max="10261" width="11" style="2" customWidth="1"/>
    <col min="10262" max="10262" width="9.28515625" style="2" customWidth="1"/>
    <col min="10263" max="10263" width="9.7109375" style="2" customWidth="1"/>
    <col min="10264" max="10264" width="10.85546875" style="2" customWidth="1"/>
    <col min="10265" max="10265" width="10.5703125" style="2" customWidth="1"/>
    <col min="10266" max="10266" width="10.28515625" style="2" customWidth="1"/>
    <col min="10267" max="10267" width="9.85546875" style="2" customWidth="1"/>
    <col min="10268" max="10268" width="10.28515625" style="2" customWidth="1"/>
    <col min="10269" max="10269" width="9" style="2" customWidth="1"/>
    <col min="10270" max="10270" width="9.85546875" style="2" customWidth="1"/>
    <col min="10271" max="10271" width="9.42578125" style="2" customWidth="1"/>
    <col min="10272" max="10272" width="9.140625" style="2" customWidth="1"/>
    <col min="10273" max="10273" width="11" style="2" customWidth="1"/>
    <col min="10274" max="10274" width="9.28515625" style="2" customWidth="1"/>
    <col min="10275" max="10275" width="9.5703125" style="2" customWidth="1"/>
    <col min="10276" max="10276" width="10.42578125" style="2" customWidth="1"/>
    <col min="10277" max="10277" width="9" style="2" customWidth="1"/>
    <col min="10278" max="10278" width="9.7109375" style="2" customWidth="1"/>
    <col min="10279" max="10279" width="10" style="2" customWidth="1"/>
    <col min="10280" max="10280" width="10.7109375" style="2" customWidth="1"/>
    <col min="10281" max="10281" width="9.42578125" style="2" customWidth="1"/>
    <col min="10282" max="10282" width="10.28515625" style="2" customWidth="1"/>
    <col min="10283" max="10283" width="9.5703125" style="2" customWidth="1"/>
    <col min="10284" max="10284" width="10" style="2" customWidth="1"/>
    <col min="10285" max="10285" width="9" style="2" customWidth="1"/>
    <col min="10286" max="10286" width="10.5703125" style="2" customWidth="1"/>
    <col min="10287" max="10287" width="11.28515625" style="2" customWidth="1"/>
    <col min="10288" max="10288" width="10.5703125" style="2" customWidth="1"/>
    <col min="10289" max="10289" width="9.7109375" style="2" customWidth="1"/>
    <col min="10290" max="10290" width="9.5703125" style="2" customWidth="1"/>
    <col min="10291" max="10291" width="10.5703125" style="2" customWidth="1"/>
    <col min="10292" max="10292" width="10.42578125" style="2" customWidth="1"/>
    <col min="10293" max="10293" width="9.85546875" style="2" customWidth="1"/>
    <col min="10294" max="10294" width="10.5703125" style="2" bestFit="1" customWidth="1"/>
    <col min="10295" max="10297" width="10.140625" style="2" bestFit="1" customWidth="1"/>
    <col min="10298" max="10298" width="8.85546875" style="2" customWidth="1"/>
    <col min="10299" max="10299" width="9.140625" style="2" bestFit="1" customWidth="1"/>
    <col min="10300" max="10301" width="10.140625" style="2" customWidth="1"/>
    <col min="10302" max="10302" width="10" style="2" customWidth="1"/>
    <col min="10303" max="10303" width="8.28515625" style="2" customWidth="1"/>
    <col min="10304" max="10304" width="9" style="2" customWidth="1"/>
    <col min="10305" max="10305" width="10.5703125" style="2" customWidth="1"/>
    <col min="10306" max="10306" width="10.140625" style="2" customWidth="1"/>
    <col min="10307" max="10307" width="9.7109375" style="2" customWidth="1"/>
    <col min="10308" max="10308" width="9.140625" style="2" customWidth="1"/>
    <col min="10309" max="10309" width="10.140625" style="2" customWidth="1"/>
    <col min="10310" max="10310" width="9" style="2" customWidth="1"/>
    <col min="10311" max="10311" width="9.28515625" style="2" customWidth="1"/>
    <col min="10312" max="10312" width="11" style="2" customWidth="1"/>
    <col min="10313" max="10313" width="10.140625" style="2" customWidth="1"/>
    <col min="10314" max="10314" width="10.7109375" style="2" customWidth="1"/>
    <col min="10315" max="10315" width="9.85546875" style="2" customWidth="1"/>
    <col min="10316" max="10316" width="11" style="2" customWidth="1"/>
    <col min="10317" max="10317" width="10" style="2" customWidth="1"/>
    <col min="10318" max="10318" width="9.140625" style="2" customWidth="1"/>
    <col min="10319" max="10319" width="10.28515625" style="2" customWidth="1"/>
    <col min="10320" max="10320" width="10.5703125" style="2" customWidth="1"/>
    <col min="10321" max="10321" width="9.85546875" style="2" customWidth="1"/>
    <col min="10322" max="10322" width="10.7109375" style="2" customWidth="1"/>
    <col min="10323" max="10323" width="9.42578125" style="2" customWidth="1"/>
    <col min="10324" max="10324" width="10.42578125" style="2" customWidth="1"/>
    <col min="10325" max="10325" width="9.85546875" style="2" customWidth="1"/>
    <col min="10326" max="10326" width="10.7109375" style="2" customWidth="1"/>
    <col min="10327" max="10327" width="10.140625" style="2" customWidth="1"/>
    <col min="10328" max="10328" width="10.28515625" style="2" customWidth="1"/>
    <col min="10329" max="10329" width="9" style="2" customWidth="1"/>
    <col min="10330" max="10330" width="11.140625" style="2" customWidth="1"/>
    <col min="10331" max="10331" width="10.28515625" style="2" customWidth="1"/>
    <col min="10332" max="10332" width="9.42578125" style="2" customWidth="1"/>
    <col min="10333" max="10333" width="10.42578125" style="2" customWidth="1"/>
    <col min="10334" max="10334" width="9.42578125" style="2" customWidth="1"/>
    <col min="10335" max="10335" width="9" style="2" customWidth="1"/>
    <col min="10336" max="10336" width="10.28515625" style="2" customWidth="1"/>
    <col min="10337" max="10337" width="8.42578125" style="2" customWidth="1"/>
    <col min="10338" max="10338" width="9.7109375" style="2" customWidth="1"/>
    <col min="10339" max="10339" width="8.7109375" style="2" customWidth="1"/>
    <col min="10340" max="10340" width="9.42578125" style="2" customWidth="1"/>
    <col min="10341" max="10341" width="10.85546875" style="2" customWidth="1"/>
    <col min="10342" max="10342" width="9.7109375" style="2" customWidth="1"/>
    <col min="10343" max="10343" width="11.42578125" style="2" customWidth="1"/>
    <col min="10344" max="10344" width="11" style="2" customWidth="1"/>
    <col min="10345" max="10345" width="9.42578125" style="2" customWidth="1"/>
    <col min="10346" max="10346" width="10.28515625" style="2" customWidth="1"/>
    <col min="10347" max="10347" width="10.42578125" style="2" customWidth="1"/>
    <col min="10348" max="10348" width="10.28515625" style="2" customWidth="1"/>
    <col min="10349" max="10350" width="9.140625" style="2" bestFit="1" customWidth="1"/>
    <col min="10351" max="10351" width="10" style="2" customWidth="1"/>
    <col min="10352" max="10352" width="9.140625" style="2" customWidth="1"/>
    <col min="10353" max="10353" width="9.85546875" style="2" customWidth="1"/>
    <col min="10354" max="10354" width="9.5703125" style="2" customWidth="1"/>
    <col min="10355" max="10355" width="10.85546875" style="2" customWidth="1"/>
    <col min="10356" max="10356" width="10.5703125" style="2" customWidth="1"/>
    <col min="10357" max="10357" width="10.28515625" style="2" customWidth="1"/>
    <col min="10358" max="10358" width="9.5703125" style="2" customWidth="1"/>
    <col min="10359" max="10359" width="9.28515625" style="2" customWidth="1"/>
    <col min="10360" max="10360" width="10.28515625" style="2" customWidth="1"/>
    <col min="10361" max="10361" width="10" style="2" customWidth="1"/>
    <col min="10362" max="10362" width="9" style="2" customWidth="1"/>
    <col min="10363" max="10363" width="10.42578125" style="2" customWidth="1"/>
    <col min="10364" max="10365" width="9.85546875" style="2" customWidth="1"/>
    <col min="10366" max="10366" width="10" style="2" customWidth="1"/>
    <col min="10367" max="10367" width="8.28515625" style="2" customWidth="1"/>
    <col min="10368" max="10368" width="9.85546875" style="2" customWidth="1"/>
    <col min="10369" max="10369" width="11.5703125" style="2" customWidth="1"/>
    <col min="10370" max="10370" width="9.140625" style="2" bestFit="1" customWidth="1"/>
    <col min="10371" max="10371" width="10" style="2" customWidth="1"/>
    <col min="10372" max="10372" width="8" style="2" customWidth="1"/>
    <col min="10373" max="10373" width="11.28515625" style="2" customWidth="1"/>
    <col min="10374" max="10376" width="10.140625" style="2" bestFit="1" customWidth="1"/>
    <col min="10377" max="10377" width="12.28515625" style="2" customWidth="1"/>
    <col min="10378" max="10379" width="5.7109375" style="2"/>
    <col min="10380" max="10380" width="10.28515625" style="2" bestFit="1" customWidth="1"/>
    <col min="10381" max="10386" width="5.7109375" style="2"/>
    <col min="10387" max="10387" width="22" style="2" customWidth="1"/>
    <col min="10388" max="10388" width="16" style="2" customWidth="1"/>
    <col min="10389" max="10389" width="7.140625" style="2" bestFit="1" customWidth="1"/>
    <col min="10390" max="10390" width="9.28515625" style="2" bestFit="1" customWidth="1"/>
    <col min="10391" max="10451" width="5.7109375" style="2"/>
    <col min="10452" max="10452" width="29.42578125" style="2" customWidth="1"/>
    <col min="10453" max="10453" width="4.7109375" style="2" customWidth="1"/>
    <col min="10454" max="10455" width="9.7109375" style="2" customWidth="1"/>
    <col min="10456" max="10456" width="9.42578125" style="2" customWidth="1"/>
    <col min="10457" max="10457" width="9.140625" style="2" customWidth="1"/>
    <col min="10458" max="10458" width="8.85546875" style="2" customWidth="1"/>
    <col min="10459" max="10459" width="9.7109375" style="2" customWidth="1"/>
    <col min="10460" max="10460" width="8.140625" style="2" customWidth="1"/>
    <col min="10461" max="10461" width="10.42578125" style="2" customWidth="1"/>
    <col min="10462" max="10462" width="9.140625" style="2" customWidth="1"/>
    <col min="10463" max="10463" width="9.85546875" style="2" customWidth="1"/>
    <col min="10464" max="10464" width="9.42578125" style="2" customWidth="1"/>
    <col min="10465" max="10465" width="9.5703125" style="2" customWidth="1"/>
    <col min="10466" max="10466" width="9.28515625" style="2" customWidth="1"/>
    <col min="10467" max="10467" width="9.140625" style="2" customWidth="1"/>
    <col min="10468" max="10468" width="9.28515625" style="2" bestFit="1" customWidth="1"/>
    <col min="10469" max="10469" width="10.5703125" style="2" customWidth="1"/>
    <col min="10470" max="10470" width="7.7109375" style="2" customWidth="1"/>
    <col min="10471" max="10471" width="9.140625" style="2" customWidth="1"/>
    <col min="10472" max="10472" width="7.85546875" style="2" customWidth="1"/>
    <col min="10473" max="10473" width="8.7109375" style="2" customWidth="1"/>
    <col min="10474" max="10474" width="9.42578125" style="2" customWidth="1"/>
    <col min="10475" max="10475" width="10.28515625" style="2" customWidth="1"/>
    <col min="10476" max="10476" width="9.85546875" style="2" customWidth="1"/>
    <col min="10477" max="10477" width="10.140625" style="2" customWidth="1"/>
    <col min="10478" max="10479" width="8.140625" style="2" customWidth="1"/>
    <col min="10480" max="10481" width="7.85546875" style="2" customWidth="1"/>
    <col min="10482" max="10482" width="9.140625" style="2" customWidth="1"/>
    <col min="10483" max="10483" width="9.7109375" style="2" customWidth="1"/>
    <col min="10484" max="10484" width="8.28515625" style="2" customWidth="1"/>
    <col min="10485" max="10485" width="9.140625" style="2" customWidth="1"/>
    <col min="10486" max="10486" width="10" style="2" customWidth="1"/>
    <col min="10487" max="10487" width="10.28515625" style="2" customWidth="1"/>
    <col min="10488" max="10488" width="9.85546875" style="2" customWidth="1"/>
    <col min="10489" max="10489" width="9.42578125" style="2" customWidth="1"/>
    <col min="10490" max="10490" width="9.7109375" style="2" customWidth="1"/>
    <col min="10491" max="10491" width="9.42578125" style="2" customWidth="1"/>
    <col min="10492" max="10492" width="9.28515625" style="2" customWidth="1"/>
    <col min="10493" max="10493" width="10.5703125" style="2" customWidth="1"/>
    <col min="10494" max="10495" width="8.85546875" style="2" customWidth="1"/>
    <col min="10496" max="10496" width="8.28515625" style="2" customWidth="1"/>
    <col min="10497" max="10497" width="8.85546875" style="2" customWidth="1"/>
    <col min="10498" max="10498" width="9.5703125" style="2" customWidth="1"/>
    <col min="10499" max="10499" width="8.42578125" style="2" customWidth="1"/>
    <col min="10500" max="10500" width="9.5703125" style="2" customWidth="1"/>
    <col min="10501" max="10501" width="8.28515625" style="2" customWidth="1"/>
    <col min="10502" max="10502" width="9.28515625" style="2" customWidth="1"/>
    <col min="10503" max="10503" width="9.85546875" style="2" customWidth="1"/>
    <col min="10504" max="10504" width="10.28515625" style="2" customWidth="1"/>
    <col min="10505" max="10505" width="10.42578125" style="2" customWidth="1"/>
    <col min="10506" max="10506" width="9.5703125" style="2" customWidth="1"/>
    <col min="10507" max="10507" width="10.140625" style="2" customWidth="1"/>
    <col min="10508" max="10508" width="9.5703125" style="2" customWidth="1"/>
    <col min="10509" max="10509" width="10.28515625" style="2" customWidth="1"/>
    <col min="10510" max="10510" width="10" style="2" customWidth="1"/>
    <col min="10511" max="10511" width="9.140625" style="2" customWidth="1"/>
    <col min="10512" max="10512" width="10.5703125" style="2" customWidth="1"/>
    <col min="10513" max="10513" width="9.28515625" style="2" customWidth="1"/>
    <col min="10514" max="10515" width="9.42578125" style="2" customWidth="1"/>
    <col min="10516" max="10516" width="9" style="2" customWidth="1"/>
    <col min="10517" max="10517" width="11" style="2" customWidth="1"/>
    <col min="10518" max="10518" width="9.28515625" style="2" customWidth="1"/>
    <col min="10519" max="10519" width="9.7109375" style="2" customWidth="1"/>
    <col min="10520" max="10520" width="10.85546875" style="2" customWidth="1"/>
    <col min="10521" max="10521" width="10.5703125" style="2" customWidth="1"/>
    <col min="10522" max="10522" width="10.28515625" style="2" customWidth="1"/>
    <col min="10523" max="10523" width="9.85546875" style="2" customWidth="1"/>
    <col min="10524" max="10524" width="10.28515625" style="2" customWidth="1"/>
    <col min="10525" max="10525" width="9" style="2" customWidth="1"/>
    <col min="10526" max="10526" width="9.85546875" style="2" customWidth="1"/>
    <col min="10527" max="10527" width="9.42578125" style="2" customWidth="1"/>
    <col min="10528" max="10528" width="9.140625" style="2" customWidth="1"/>
    <col min="10529" max="10529" width="11" style="2" customWidth="1"/>
    <col min="10530" max="10530" width="9.28515625" style="2" customWidth="1"/>
    <col min="10531" max="10531" width="9.5703125" style="2" customWidth="1"/>
    <col min="10532" max="10532" width="10.42578125" style="2" customWidth="1"/>
    <col min="10533" max="10533" width="9" style="2" customWidth="1"/>
    <col min="10534" max="10534" width="9.7109375" style="2" customWidth="1"/>
    <col min="10535" max="10535" width="10" style="2" customWidth="1"/>
    <col min="10536" max="10536" width="10.7109375" style="2" customWidth="1"/>
    <col min="10537" max="10537" width="9.42578125" style="2" customWidth="1"/>
    <col min="10538" max="10538" width="10.28515625" style="2" customWidth="1"/>
    <col min="10539" max="10539" width="9.5703125" style="2" customWidth="1"/>
    <col min="10540" max="10540" width="10" style="2" customWidth="1"/>
    <col min="10541" max="10541" width="9" style="2" customWidth="1"/>
    <col min="10542" max="10542" width="10.5703125" style="2" customWidth="1"/>
    <col min="10543" max="10543" width="11.28515625" style="2" customWidth="1"/>
    <col min="10544" max="10544" width="10.5703125" style="2" customWidth="1"/>
    <col min="10545" max="10545" width="9.7109375" style="2" customWidth="1"/>
    <col min="10546" max="10546" width="9.5703125" style="2" customWidth="1"/>
    <col min="10547" max="10547" width="10.5703125" style="2" customWidth="1"/>
    <col min="10548" max="10548" width="10.42578125" style="2" customWidth="1"/>
    <col min="10549" max="10549" width="9.85546875" style="2" customWidth="1"/>
    <col min="10550" max="10550" width="10.5703125" style="2" bestFit="1" customWidth="1"/>
    <col min="10551" max="10553" width="10.140625" style="2" bestFit="1" customWidth="1"/>
    <col min="10554" max="10554" width="8.85546875" style="2" customWidth="1"/>
    <col min="10555" max="10555" width="9.140625" style="2" bestFit="1" customWidth="1"/>
    <col min="10556" max="10557" width="10.140625" style="2" customWidth="1"/>
    <col min="10558" max="10558" width="10" style="2" customWidth="1"/>
    <col min="10559" max="10559" width="8.28515625" style="2" customWidth="1"/>
    <col min="10560" max="10560" width="9" style="2" customWidth="1"/>
    <col min="10561" max="10561" width="10.5703125" style="2" customWidth="1"/>
    <col min="10562" max="10562" width="10.140625" style="2" customWidth="1"/>
    <col min="10563" max="10563" width="9.7109375" style="2" customWidth="1"/>
    <col min="10564" max="10564" width="9.140625" style="2" customWidth="1"/>
    <col min="10565" max="10565" width="10.140625" style="2" customWidth="1"/>
    <col min="10566" max="10566" width="9" style="2" customWidth="1"/>
    <col min="10567" max="10567" width="9.28515625" style="2" customWidth="1"/>
    <col min="10568" max="10568" width="11" style="2" customWidth="1"/>
    <col min="10569" max="10569" width="10.140625" style="2" customWidth="1"/>
    <col min="10570" max="10570" width="10.7109375" style="2" customWidth="1"/>
    <col min="10571" max="10571" width="9.85546875" style="2" customWidth="1"/>
    <col min="10572" max="10572" width="11" style="2" customWidth="1"/>
    <col min="10573" max="10573" width="10" style="2" customWidth="1"/>
    <col min="10574" max="10574" width="9.140625" style="2" customWidth="1"/>
    <col min="10575" max="10575" width="10.28515625" style="2" customWidth="1"/>
    <col min="10576" max="10576" width="10.5703125" style="2" customWidth="1"/>
    <col min="10577" max="10577" width="9.85546875" style="2" customWidth="1"/>
    <col min="10578" max="10578" width="10.7109375" style="2" customWidth="1"/>
    <col min="10579" max="10579" width="9.42578125" style="2" customWidth="1"/>
    <col min="10580" max="10580" width="10.42578125" style="2" customWidth="1"/>
    <col min="10581" max="10581" width="9.85546875" style="2" customWidth="1"/>
    <col min="10582" max="10582" width="10.7109375" style="2" customWidth="1"/>
    <col min="10583" max="10583" width="10.140625" style="2" customWidth="1"/>
    <col min="10584" max="10584" width="10.28515625" style="2" customWidth="1"/>
    <col min="10585" max="10585" width="9" style="2" customWidth="1"/>
    <col min="10586" max="10586" width="11.140625" style="2" customWidth="1"/>
    <col min="10587" max="10587" width="10.28515625" style="2" customWidth="1"/>
    <col min="10588" max="10588" width="9.42578125" style="2" customWidth="1"/>
    <col min="10589" max="10589" width="10.42578125" style="2" customWidth="1"/>
    <col min="10590" max="10590" width="9.42578125" style="2" customWidth="1"/>
    <col min="10591" max="10591" width="9" style="2" customWidth="1"/>
    <col min="10592" max="10592" width="10.28515625" style="2" customWidth="1"/>
    <col min="10593" max="10593" width="8.42578125" style="2" customWidth="1"/>
    <col min="10594" max="10594" width="9.7109375" style="2" customWidth="1"/>
    <col min="10595" max="10595" width="8.7109375" style="2" customWidth="1"/>
    <col min="10596" max="10596" width="9.42578125" style="2" customWidth="1"/>
    <col min="10597" max="10597" width="10.85546875" style="2" customWidth="1"/>
    <col min="10598" max="10598" width="9.7109375" style="2" customWidth="1"/>
    <col min="10599" max="10599" width="11.42578125" style="2" customWidth="1"/>
    <col min="10600" max="10600" width="11" style="2" customWidth="1"/>
    <col min="10601" max="10601" width="9.42578125" style="2" customWidth="1"/>
    <col min="10602" max="10602" width="10.28515625" style="2" customWidth="1"/>
    <col min="10603" max="10603" width="10.42578125" style="2" customWidth="1"/>
    <col min="10604" max="10604" width="10.28515625" style="2" customWidth="1"/>
    <col min="10605" max="10606" width="9.140625" style="2" bestFit="1" customWidth="1"/>
    <col min="10607" max="10607" width="10" style="2" customWidth="1"/>
    <col min="10608" max="10608" width="9.140625" style="2" customWidth="1"/>
    <col min="10609" max="10609" width="9.85546875" style="2" customWidth="1"/>
    <col min="10610" max="10610" width="9.5703125" style="2" customWidth="1"/>
    <col min="10611" max="10611" width="10.85546875" style="2" customWidth="1"/>
    <col min="10612" max="10612" width="10.5703125" style="2" customWidth="1"/>
    <col min="10613" max="10613" width="10.28515625" style="2" customWidth="1"/>
    <col min="10614" max="10614" width="9.5703125" style="2" customWidth="1"/>
    <col min="10615" max="10615" width="9.28515625" style="2" customWidth="1"/>
    <col min="10616" max="10616" width="10.28515625" style="2" customWidth="1"/>
    <col min="10617" max="10617" width="10" style="2" customWidth="1"/>
    <col min="10618" max="10618" width="9" style="2" customWidth="1"/>
    <col min="10619" max="10619" width="10.42578125" style="2" customWidth="1"/>
    <col min="10620" max="10621" width="9.85546875" style="2" customWidth="1"/>
    <col min="10622" max="10622" width="10" style="2" customWidth="1"/>
    <col min="10623" max="10623" width="8.28515625" style="2" customWidth="1"/>
    <col min="10624" max="10624" width="9.85546875" style="2" customWidth="1"/>
    <col min="10625" max="10625" width="11.5703125" style="2" customWidth="1"/>
    <col min="10626" max="10626" width="9.140625" style="2" bestFit="1" customWidth="1"/>
    <col min="10627" max="10627" width="10" style="2" customWidth="1"/>
    <col min="10628" max="10628" width="8" style="2" customWidth="1"/>
    <col min="10629" max="10629" width="11.28515625" style="2" customWidth="1"/>
    <col min="10630" max="10632" width="10.140625" style="2" bestFit="1" customWidth="1"/>
    <col min="10633" max="10633" width="12.28515625" style="2" customWidth="1"/>
    <col min="10634" max="10635" width="5.7109375" style="2"/>
    <col min="10636" max="10636" width="10.28515625" style="2" bestFit="1" customWidth="1"/>
    <col min="10637" max="10642" width="5.7109375" style="2"/>
    <col min="10643" max="10643" width="22" style="2" customWidth="1"/>
    <col min="10644" max="10644" width="16" style="2" customWidth="1"/>
    <col min="10645" max="10645" width="7.140625" style="2" bestFit="1" customWidth="1"/>
    <col min="10646" max="10646" width="9.28515625" style="2" bestFit="1" customWidth="1"/>
    <col min="10647" max="10707" width="5.7109375" style="2"/>
    <col min="10708" max="10708" width="29.42578125" style="2" customWidth="1"/>
    <col min="10709" max="10709" width="4.7109375" style="2" customWidth="1"/>
    <col min="10710" max="10711" width="9.7109375" style="2" customWidth="1"/>
    <col min="10712" max="10712" width="9.42578125" style="2" customWidth="1"/>
    <col min="10713" max="10713" width="9.140625" style="2" customWidth="1"/>
    <col min="10714" max="10714" width="8.85546875" style="2" customWidth="1"/>
    <col min="10715" max="10715" width="9.7109375" style="2" customWidth="1"/>
    <col min="10716" max="10716" width="8.140625" style="2" customWidth="1"/>
    <col min="10717" max="10717" width="10.42578125" style="2" customWidth="1"/>
    <col min="10718" max="10718" width="9.140625" style="2" customWidth="1"/>
    <col min="10719" max="10719" width="9.85546875" style="2" customWidth="1"/>
    <col min="10720" max="10720" width="9.42578125" style="2" customWidth="1"/>
    <col min="10721" max="10721" width="9.5703125" style="2" customWidth="1"/>
    <col min="10722" max="10722" width="9.28515625" style="2" customWidth="1"/>
    <col min="10723" max="10723" width="9.140625" style="2" customWidth="1"/>
    <col min="10724" max="10724" width="9.28515625" style="2" bestFit="1" customWidth="1"/>
    <col min="10725" max="10725" width="10.5703125" style="2" customWidth="1"/>
    <col min="10726" max="10726" width="7.7109375" style="2" customWidth="1"/>
    <col min="10727" max="10727" width="9.140625" style="2" customWidth="1"/>
    <col min="10728" max="10728" width="7.85546875" style="2" customWidth="1"/>
    <col min="10729" max="10729" width="8.7109375" style="2" customWidth="1"/>
    <col min="10730" max="10730" width="9.42578125" style="2" customWidth="1"/>
    <col min="10731" max="10731" width="10.28515625" style="2" customWidth="1"/>
    <col min="10732" max="10732" width="9.85546875" style="2" customWidth="1"/>
    <col min="10733" max="10733" width="10.140625" style="2" customWidth="1"/>
    <col min="10734" max="10735" width="8.140625" style="2" customWidth="1"/>
    <col min="10736" max="10737" width="7.85546875" style="2" customWidth="1"/>
    <col min="10738" max="10738" width="9.140625" style="2" customWidth="1"/>
    <col min="10739" max="10739" width="9.7109375" style="2" customWidth="1"/>
    <col min="10740" max="10740" width="8.28515625" style="2" customWidth="1"/>
    <col min="10741" max="10741" width="9.140625" style="2" customWidth="1"/>
    <col min="10742" max="10742" width="10" style="2" customWidth="1"/>
    <col min="10743" max="10743" width="10.28515625" style="2" customWidth="1"/>
    <col min="10744" max="10744" width="9.85546875" style="2" customWidth="1"/>
    <col min="10745" max="10745" width="9.42578125" style="2" customWidth="1"/>
    <col min="10746" max="10746" width="9.7109375" style="2" customWidth="1"/>
    <col min="10747" max="10747" width="9.42578125" style="2" customWidth="1"/>
    <col min="10748" max="10748" width="9.28515625" style="2" customWidth="1"/>
    <col min="10749" max="10749" width="10.5703125" style="2" customWidth="1"/>
    <col min="10750" max="10751" width="8.85546875" style="2" customWidth="1"/>
    <col min="10752" max="10752" width="8.28515625" style="2" customWidth="1"/>
    <col min="10753" max="10753" width="8.85546875" style="2" customWidth="1"/>
    <col min="10754" max="10754" width="9.5703125" style="2" customWidth="1"/>
    <col min="10755" max="10755" width="8.42578125" style="2" customWidth="1"/>
    <col min="10756" max="10756" width="9.5703125" style="2" customWidth="1"/>
    <col min="10757" max="10757" width="8.28515625" style="2" customWidth="1"/>
    <col min="10758" max="10758" width="9.28515625" style="2" customWidth="1"/>
    <col min="10759" max="10759" width="9.85546875" style="2" customWidth="1"/>
    <col min="10760" max="10760" width="10.28515625" style="2" customWidth="1"/>
    <col min="10761" max="10761" width="10.42578125" style="2" customWidth="1"/>
    <col min="10762" max="10762" width="9.5703125" style="2" customWidth="1"/>
    <col min="10763" max="10763" width="10.140625" style="2" customWidth="1"/>
    <col min="10764" max="10764" width="9.5703125" style="2" customWidth="1"/>
    <col min="10765" max="10765" width="10.28515625" style="2" customWidth="1"/>
    <col min="10766" max="10766" width="10" style="2" customWidth="1"/>
    <col min="10767" max="10767" width="9.140625" style="2" customWidth="1"/>
    <col min="10768" max="10768" width="10.5703125" style="2" customWidth="1"/>
    <col min="10769" max="10769" width="9.28515625" style="2" customWidth="1"/>
    <col min="10770" max="10771" width="9.42578125" style="2" customWidth="1"/>
    <col min="10772" max="10772" width="9" style="2" customWidth="1"/>
    <col min="10773" max="10773" width="11" style="2" customWidth="1"/>
    <col min="10774" max="10774" width="9.28515625" style="2" customWidth="1"/>
    <col min="10775" max="10775" width="9.7109375" style="2" customWidth="1"/>
    <col min="10776" max="10776" width="10.85546875" style="2" customWidth="1"/>
    <col min="10777" max="10777" width="10.5703125" style="2" customWidth="1"/>
    <col min="10778" max="10778" width="10.28515625" style="2" customWidth="1"/>
    <col min="10779" max="10779" width="9.85546875" style="2" customWidth="1"/>
    <col min="10780" max="10780" width="10.28515625" style="2" customWidth="1"/>
    <col min="10781" max="10781" width="9" style="2" customWidth="1"/>
    <col min="10782" max="10782" width="9.85546875" style="2" customWidth="1"/>
    <col min="10783" max="10783" width="9.42578125" style="2" customWidth="1"/>
    <col min="10784" max="10784" width="9.140625" style="2" customWidth="1"/>
    <col min="10785" max="10785" width="11" style="2" customWidth="1"/>
    <col min="10786" max="10786" width="9.28515625" style="2" customWidth="1"/>
    <col min="10787" max="10787" width="9.5703125" style="2" customWidth="1"/>
    <col min="10788" max="10788" width="10.42578125" style="2" customWidth="1"/>
    <col min="10789" max="10789" width="9" style="2" customWidth="1"/>
    <col min="10790" max="10790" width="9.7109375" style="2" customWidth="1"/>
    <col min="10791" max="10791" width="10" style="2" customWidth="1"/>
    <col min="10792" max="10792" width="10.7109375" style="2" customWidth="1"/>
    <col min="10793" max="10793" width="9.42578125" style="2" customWidth="1"/>
    <col min="10794" max="10794" width="10.28515625" style="2" customWidth="1"/>
    <col min="10795" max="10795" width="9.5703125" style="2" customWidth="1"/>
    <col min="10796" max="10796" width="10" style="2" customWidth="1"/>
    <col min="10797" max="10797" width="9" style="2" customWidth="1"/>
    <col min="10798" max="10798" width="10.5703125" style="2" customWidth="1"/>
    <col min="10799" max="10799" width="11.28515625" style="2" customWidth="1"/>
    <col min="10800" max="10800" width="10.5703125" style="2" customWidth="1"/>
    <col min="10801" max="10801" width="9.7109375" style="2" customWidth="1"/>
    <col min="10802" max="10802" width="9.5703125" style="2" customWidth="1"/>
    <col min="10803" max="10803" width="10.5703125" style="2" customWidth="1"/>
    <col min="10804" max="10804" width="10.42578125" style="2" customWidth="1"/>
    <col min="10805" max="10805" width="9.85546875" style="2" customWidth="1"/>
    <col min="10806" max="10806" width="10.5703125" style="2" bestFit="1" customWidth="1"/>
    <col min="10807" max="10809" width="10.140625" style="2" bestFit="1" customWidth="1"/>
    <col min="10810" max="10810" width="8.85546875" style="2" customWidth="1"/>
    <col min="10811" max="10811" width="9.140625" style="2" bestFit="1" customWidth="1"/>
    <col min="10812" max="10813" width="10.140625" style="2" customWidth="1"/>
    <col min="10814" max="10814" width="10" style="2" customWidth="1"/>
    <col min="10815" max="10815" width="8.28515625" style="2" customWidth="1"/>
    <col min="10816" max="10816" width="9" style="2" customWidth="1"/>
    <col min="10817" max="10817" width="10.5703125" style="2" customWidth="1"/>
    <col min="10818" max="10818" width="10.140625" style="2" customWidth="1"/>
    <col min="10819" max="10819" width="9.7109375" style="2" customWidth="1"/>
    <col min="10820" max="10820" width="9.140625" style="2" customWidth="1"/>
    <col min="10821" max="10821" width="10.140625" style="2" customWidth="1"/>
    <col min="10822" max="10822" width="9" style="2" customWidth="1"/>
    <col min="10823" max="10823" width="9.28515625" style="2" customWidth="1"/>
    <col min="10824" max="10824" width="11" style="2" customWidth="1"/>
    <col min="10825" max="10825" width="10.140625" style="2" customWidth="1"/>
    <col min="10826" max="10826" width="10.7109375" style="2" customWidth="1"/>
    <col min="10827" max="10827" width="9.85546875" style="2" customWidth="1"/>
    <col min="10828" max="10828" width="11" style="2" customWidth="1"/>
    <col min="10829" max="10829" width="10" style="2" customWidth="1"/>
    <col min="10830" max="10830" width="9.140625" style="2" customWidth="1"/>
    <col min="10831" max="10831" width="10.28515625" style="2" customWidth="1"/>
    <col min="10832" max="10832" width="10.5703125" style="2" customWidth="1"/>
    <col min="10833" max="10833" width="9.85546875" style="2" customWidth="1"/>
    <col min="10834" max="10834" width="10.7109375" style="2" customWidth="1"/>
    <col min="10835" max="10835" width="9.42578125" style="2" customWidth="1"/>
    <col min="10836" max="10836" width="10.42578125" style="2" customWidth="1"/>
    <col min="10837" max="10837" width="9.85546875" style="2" customWidth="1"/>
    <col min="10838" max="10838" width="10.7109375" style="2" customWidth="1"/>
    <col min="10839" max="10839" width="10.140625" style="2" customWidth="1"/>
    <col min="10840" max="10840" width="10.28515625" style="2" customWidth="1"/>
    <col min="10841" max="10841" width="9" style="2" customWidth="1"/>
    <col min="10842" max="10842" width="11.140625" style="2" customWidth="1"/>
    <col min="10843" max="10843" width="10.28515625" style="2" customWidth="1"/>
    <col min="10844" max="10844" width="9.42578125" style="2" customWidth="1"/>
    <col min="10845" max="10845" width="10.42578125" style="2" customWidth="1"/>
    <col min="10846" max="10846" width="9.42578125" style="2" customWidth="1"/>
    <col min="10847" max="10847" width="9" style="2" customWidth="1"/>
    <col min="10848" max="10848" width="10.28515625" style="2" customWidth="1"/>
    <col min="10849" max="10849" width="8.42578125" style="2" customWidth="1"/>
    <col min="10850" max="10850" width="9.7109375" style="2" customWidth="1"/>
    <col min="10851" max="10851" width="8.7109375" style="2" customWidth="1"/>
    <col min="10852" max="10852" width="9.42578125" style="2" customWidth="1"/>
    <col min="10853" max="10853" width="10.85546875" style="2" customWidth="1"/>
    <col min="10854" max="10854" width="9.7109375" style="2" customWidth="1"/>
    <col min="10855" max="10855" width="11.42578125" style="2" customWidth="1"/>
    <col min="10856" max="10856" width="11" style="2" customWidth="1"/>
    <col min="10857" max="10857" width="9.42578125" style="2" customWidth="1"/>
    <col min="10858" max="10858" width="10.28515625" style="2" customWidth="1"/>
    <col min="10859" max="10859" width="10.42578125" style="2" customWidth="1"/>
    <col min="10860" max="10860" width="10.28515625" style="2" customWidth="1"/>
    <col min="10861" max="10862" width="9.140625" style="2" bestFit="1" customWidth="1"/>
    <col min="10863" max="10863" width="10" style="2" customWidth="1"/>
    <col min="10864" max="10864" width="9.140625" style="2" customWidth="1"/>
    <col min="10865" max="10865" width="9.85546875" style="2" customWidth="1"/>
    <col min="10866" max="10866" width="9.5703125" style="2" customWidth="1"/>
    <col min="10867" max="10867" width="10.85546875" style="2" customWidth="1"/>
    <col min="10868" max="10868" width="10.5703125" style="2" customWidth="1"/>
    <col min="10869" max="10869" width="10.28515625" style="2" customWidth="1"/>
    <col min="10870" max="10870" width="9.5703125" style="2" customWidth="1"/>
    <col min="10871" max="10871" width="9.28515625" style="2" customWidth="1"/>
    <col min="10872" max="10872" width="10.28515625" style="2" customWidth="1"/>
    <col min="10873" max="10873" width="10" style="2" customWidth="1"/>
    <col min="10874" max="10874" width="9" style="2" customWidth="1"/>
    <col min="10875" max="10875" width="10.42578125" style="2" customWidth="1"/>
    <col min="10876" max="10877" width="9.85546875" style="2" customWidth="1"/>
    <col min="10878" max="10878" width="10" style="2" customWidth="1"/>
    <col min="10879" max="10879" width="8.28515625" style="2" customWidth="1"/>
    <col min="10880" max="10880" width="9.85546875" style="2" customWidth="1"/>
    <col min="10881" max="10881" width="11.5703125" style="2" customWidth="1"/>
    <col min="10882" max="10882" width="9.140625" style="2" bestFit="1" customWidth="1"/>
    <col min="10883" max="10883" width="10" style="2" customWidth="1"/>
    <col min="10884" max="10884" width="8" style="2" customWidth="1"/>
    <col min="10885" max="10885" width="11.28515625" style="2" customWidth="1"/>
    <col min="10886" max="10888" width="10.140625" style="2" bestFit="1" customWidth="1"/>
    <col min="10889" max="10889" width="12.28515625" style="2" customWidth="1"/>
    <col min="10890" max="10891" width="5.7109375" style="2"/>
    <col min="10892" max="10892" width="10.28515625" style="2" bestFit="1" customWidth="1"/>
    <col min="10893" max="10898" width="5.7109375" style="2"/>
    <col min="10899" max="10899" width="22" style="2" customWidth="1"/>
    <col min="10900" max="10900" width="16" style="2" customWidth="1"/>
    <col min="10901" max="10901" width="7.140625" style="2" bestFit="1" customWidth="1"/>
    <col min="10902" max="10902" width="9.28515625" style="2" bestFit="1" customWidth="1"/>
    <col min="10903" max="10963" width="5.7109375" style="2"/>
    <col min="10964" max="10964" width="29.42578125" style="2" customWidth="1"/>
    <col min="10965" max="10965" width="4.7109375" style="2" customWidth="1"/>
    <col min="10966" max="10967" width="9.7109375" style="2" customWidth="1"/>
    <col min="10968" max="10968" width="9.42578125" style="2" customWidth="1"/>
    <col min="10969" max="10969" width="9.140625" style="2" customWidth="1"/>
    <col min="10970" max="10970" width="8.85546875" style="2" customWidth="1"/>
    <col min="10971" max="10971" width="9.7109375" style="2" customWidth="1"/>
    <col min="10972" max="10972" width="8.140625" style="2" customWidth="1"/>
    <col min="10973" max="10973" width="10.42578125" style="2" customWidth="1"/>
    <col min="10974" max="10974" width="9.140625" style="2" customWidth="1"/>
    <col min="10975" max="10975" width="9.85546875" style="2" customWidth="1"/>
    <col min="10976" max="10976" width="9.42578125" style="2" customWidth="1"/>
    <col min="10977" max="10977" width="9.5703125" style="2" customWidth="1"/>
    <col min="10978" max="10978" width="9.28515625" style="2" customWidth="1"/>
    <col min="10979" max="10979" width="9.140625" style="2" customWidth="1"/>
    <col min="10980" max="10980" width="9.28515625" style="2" bestFit="1" customWidth="1"/>
    <col min="10981" max="10981" width="10.5703125" style="2" customWidth="1"/>
    <col min="10982" max="10982" width="7.7109375" style="2" customWidth="1"/>
    <col min="10983" max="10983" width="9.140625" style="2" customWidth="1"/>
    <col min="10984" max="10984" width="7.85546875" style="2" customWidth="1"/>
    <col min="10985" max="10985" width="8.7109375" style="2" customWidth="1"/>
    <col min="10986" max="10986" width="9.42578125" style="2" customWidth="1"/>
    <col min="10987" max="10987" width="10.28515625" style="2" customWidth="1"/>
    <col min="10988" max="10988" width="9.85546875" style="2" customWidth="1"/>
    <col min="10989" max="10989" width="10.140625" style="2" customWidth="1"/>
    <col min="10990" max="10991" width="8.140625" style="2" customWidth="1"/>
    <col min="10992" max="10993" width="7.85546875" style="2" customWidth="1"/>
    <col min="10994" max="10994" width="9.140625" style="2" customWidth="1"/>
    <col min="10995" max="10995" width="9.7109375" style="2" customWidth="1"/>
    <col min="10996" max="10996" width="8.28515625" style="2" customWidth="1"/>
    <col min="10997" max="10997" width="9.140625" style="2" customWidth="1"/>
    <col min="10998" max="10998" width="10" style="2" customWidth="1"/>
    <col min="10999" max="10999" width="10.28515625" style="2" customWidth="1"/>
    <col min="11000" max="11000" width="9.85546875" style="2" customWidth="1"/>
    <col min="11001" max="11001" width="9.42578125" style="2" customWidth="1"/>
    <col min="11002" max="11002" width="9.7109375" style="2" customWidth="1"/>
    <col min="11003" max="11003" width="9.42578125" style="2" customWidth="1"/>
    <col min="11004" max="11004" width="9.28515625" style="2" customWidth="1"/>
    <col min="11005" max="11005" width="10.5703125" style="2" customWidth="1"/>
    <col min="11006" max="11007" width="8.85546875" style="2" customWidth="1"/>
    <col min="11008" max="11008" width="8.28515625" style="2" customWidth="1"/>
    <col min="11009" max="11009" width="8.85546875" style="2" customWidth="1"/>
    <col min="11010" max="11010" width="9.5703125" style="2" customWidth="1"/>
    <col min="11011" max="11011" width="8.42578125" style="2" customWidth="1"/>
    <col min="11012" max="11012" width="9.5703125" style="2" customWidth="1"/>
    <col min="11013" max="11013" width="8.28515625" style="2" customWidth="1"/>
    <col min="11014" max="11014" width="9.28515625" style="2" customWidth="1"/>
    <col min="11015" max="11015" width="9.85546875" style="2" customWidth="1"/>
    <col min="11016" max="11016" width="10.28515625" style="2" customWidth="1"/>
    <col min="11017" max="11017" width="10.42578125" style="2" customWidth="1"/>
    <col min="11018" max="11018" width="9.5703125" style="2" customWidth="1"/>
    <col min="11019" max="11019" width="10.140625" style="2" customWidth="1"/>
    <col min="11020" max="11020" width="9.5703125" style="2" customWidth="1"/>
    <col min="11021" max="11021" width="10.28515625" style="2" customWidth="1"/>
    <col min="11022" max="11022" width="10" style="2" customWidth="1"/>
    <col min="11023" max="11023" width="9.140625" style="2" customWidth="1"/>
    <col min="11024" max="11024" width="10.5703125" style="2" customWidth="1"/>
    <col min="11025" max="11025" width="9.28515625" style="2" customWidth="1"/>
    <col min="11026" max="11027" width="9.42578125" style="2" customWidth="1"/>
    <col min="11028" max="11028" width="9" style="2" customWidth="1"/>
    <col min="11029" max="11029" width="11" style="2" customWidth="1"/>
    <col min="11030" max="11030" width="9.28515625" style="2" customWidth="1"/>
    <col min="11031" max="11031" width="9.7109375" style="2" customWidth="1"/>
    <col min="11032" max="11032" width="10.85546875" style="2" customWidth="1"/>
    <col min="11033" max="11033" width="10.5703125" style="2" customWidth="1"/>
    <col min="11034" max="11034" width="10.28515625" style="2" customWidth="1"/>
    <col min="11035" max="11035" width="9.85546875" style="2" customWidth="1"/>
    <col min="11036" max="11036" width="10.28515625" style="2" customWidth="1"/>
    <col min="11037" max="11037" width="9" style="2" customWidth="1"/>
    <col min="11038" max="11038" width="9.85546875" style="2" customWidth="1"/>
    <col min="11039" max="11039" width="9.42578125" style="2" customWidth="1"/>
    <col min="11040" max="11040" width="9.140625" style="2" customWidth="1"/>
    <col min="11041" max="11041" width="11" style="2" customWidth="1"/>
    <col min="11042" max="11042" width="9.28515625" style="2" customWidth="1"/>
    <col min="11043" max="11043" width="9.5703125" style="2" customWidth="1"/>
    <col min="11044" max="11044" width="10.42578125" style="2" customWidth="1"/>
    <col min="11045" max="11045" width="9" style="2" customWidth="1"/>
    <col min="11046" max="11046" width="9.7109375" style="2" customWidth="1"/>
    <col min="11047" max="11047" width="10" style="2" customWidth="1"/>
    <col min="11048" max="11048" width="10.7109375" style="2" customWidth="1"/>
    <col min="11049" max="11049" width="9.42578125" style="2" customWidth="1"/>
    <col min="11050" max="11050" width="10.28515625" style="2" customWidth="1"/>
    <col min="11051" max="11051" width="9.5703125" style="2" customWidth="1"/>
    <col min="11052" max="11052" width="10" style="2" customWidth="1"/>
    <col min="11053" max="11053" width="9" style="2" customWidth="1"/>
    <col min="11054" max="11054" width="10.5703125" style="2" customWidth="1"/>
    <col min="11055" max="11055" width="11.28515625" style="2" customWidth="1"/>
    <col min="11056" max="11056" width="10.5703125" style="2" customWidth="1"/>
    <col min="11057" max="11057" width="9.7109375" style="2" customWidth="1"/>
    <col min="11058" max="11058" width="9.5703125" style="2" customWidth="1"/>
    <col min="11059" max="11059" width="10.5703125" style="2" customWidth="1"/>
    <col min="11060" max="11060" width="10.42578125" style="2" customWidth="1"/>
    <col min="11061" max="11061" width="9.85546875" style="2" customWidth="1"/>
    <col min="11062" max="11062" width="10.5703125" style="2" bestFit="1" customWidth="1"/>
    <col min="11063" max="11065" width="10.140625" style="2" bestFit="1" customWidth="1"/>
    <col min="11066" max="11066" width="8.85546875" style="2" customWidth="1"/>
    <col min="11067" max="11067" width="9.140625" style="2" bestFit="1" customWidth="1"/>
    <col min="11068" max="11069" width="10.140625" style="2" customWidth="1"/>
    <col min="11070" max="11070" width="10" style="2" customWidth="1"/>
    <col min="11071" max="11071" width="8.28515625" style="2" customWidth="1"/>
    <col min="11072" max="11072" width="9" style="2" customWidth="1"/>
    <col min="11073" max="11073" width="10.5703125" style="2" customWidth="1"/>
    <col min="11074" max="11074" width="10.140625" style="2" customWidth="1"/>
    <col min="11075" max="11075" width="9.7109375" style="2" customWidth="1"/>
    <col min="11076" max="11076" width="9.140625" style="2" customWidth="1"/>
    <col min="11077" max="11077" width="10.140625" style="2" customWidth="1"/>
    <col min="11078" max="11078" width="9" style="2" customWidth="1"/>
    <col min="11079" max="11079" width="9.28515625" style="2" customWidth="1"/>
    <col min="11080" max="11080" width="11" style="2" customWidth="1"/>
    <col min="11081" max="11081" width="10.140625" style="2" customWidth="1"/>
    <col min="11082" max="11082" width="10.7109375" style="2" customWidth="1"/>
    <col min="11083" max="11083" width="9.85546875" style="2" customWidth="1"/>
    <col min="11084" max="11084" width="11" style="2" customWidth="1"/>
    <col min="11085" max="11085" width="10" style="2" customWidth="1"/>
    <col min="11086" max="11086" width="9.140625" style="2" customWidth="1"/>
    <col min="11087" max="11087" width="10.28515625" style="2" customWidth="1"/>
    <col min="11088" max="11088" width="10.5703125" style="2" customWidth="1"/>
    <col min="11089" max="11089" width="9.85546875" style="2" customWidth="1"/>
    <col min="11090" max="11090" width="10.7109375" style="2" customWidth="1"/>
    <col min="11091" max="11091" width="9.42578125" style="2" customWidth="1"/>
    <col min="11092" max="11092" width="10.42578125" style="2" customWidth="1"/>
    <col min="11093" max="11093" width="9.85546875" style="2" customWidth="1"/>
    <col min="11094" max="11094" width="10.7109375" style="2" customWidth="1"/>
    <col min="11095" max="11095" width="10.140625" style="2" customWidth="1"/>
    <col min="11096" max="11096" width="10.28515625" style="2" customWidth="1"/>
    <col min="11097" max="11097" width="9" style="2" customWidth="1"/>
    <col min="11098" max="11098" width="11.140625" style="2" customWidth="1"/>
    <col min="11099" max="11099" width="10.28515625" style="2" customWidth="1"/>
    <col min="11100" max="11100" width="9.42578125" style="2" customWidth="1"/>
    <col min="11101" max="11101" width="10.42578125" style="2" customWidth="1"/>
    <col min="11102" max="11102" width="9.42578125" style="2" customWidth="1"/>
    <col min="11103" max="11103" width="9" style="2" customWidth="1"/>
    <col min="11104" max="11104" width="10.28515625" style="2" customWidth="1"/>
    <col min="11105" max="11105" width="8.42578125" style="2" customWidth="1"/>
    <col min="11106" max="11106" width="9.7109375" style="2" customWidth="1"/>
    <col min="11107" max="11107" width="8.7109375" style="2" customWidth="1"/>
    <col min="11108" max="11108" width="9.42578125" style="2" customWidth="1"/>
    <col min="11109" max="11109" width="10.85546875" style="2" customWidth="1"/>
    <col min="11110" max="11110" width="9.7109375" style="2" customWidth="1"/>
    <col min="11111" max="11111" width="11.42578125" style="2" customWidth="1"/>
    <col min="11112" max="11112" width="11" style="2" customWidth="1"/>
    <col min="11113" max="11113" width="9.42578125" style="2" customWidth="1"/>
    <col min="11114" max="11114" width="10.28515625" style="2" customWidth="1"/>
    <col min="11115" max="11115" width="10.42578125" style="2" customWidth="1"/>
    <col min="11116" max="11116" width="10.28515625" style="2" customWidth="1"/>
    <col min="11117" max="11118" width="9.140625" style="2" bestFit="1" customWidth="1"/>
    <col min="11119" max="11119" width="10" style="2" customWidth="1"/>
    <col min="11120" max="11120" width="9.140625" style="2" customWidth="1"/>
    <col min="11121" max="11121" width="9.85546875" style="2" customWidth="1"/>
    <col min="11122" max="11122" width="9.5703125" style="2" customWidth="1"/>
    <col min="11123" max="11123" width="10.85546875" style="2" customWidth="1"/>
    <col min="11124" max="11124" width="10.5703125" style="2" customWidth="1"/>
    <col min="11125" max="11125" width="10.28515625" style="2" customWidth="1"/>
    <col min="11126" max="11126" width="9.5703125" style="2" customWidth="1"/>
    <col min="11127" max="11127" width="9.28515625" style="2" customWidth="1"/>
    <col min="11128" max="11128" width="10.28515625" style="2" customWidth="1"/>
    <col min="11129" max="11129" width="10" style="2" customWidth="1"/>
    <col min="11130" max="11130" width="9" style="2" customWidth="1"/>
    <col min="11131" max="11131" width="10.42578125" style="2" customWidth="1"/>
    <col min="11132" max="11133" width="9.85546875" style="2" customWidth="1"/>
    <col min="11134" max="11134" width="10" style="2" customWidth="1"/>
    <col min="11135" max="11135" width="8.28515625" style="2" customWidth="1"/>
    <col min="11136" max="11136" width="9.85546875" style="2" customWidth="1"/>
    <col min="11137" max="11137" width="11.5703125" style="2" customWidth="1"/>
    <col min="11138" max="11138" width="9.140625" style="2" bestFit="1" customWidth="1"/>
    <col min="11139" max="11139" width="10" style="2" customWidth="1"/>
    <col min="11140" max="11140" width="8" style="2" customWidth="1"/>
    <col min="11141" max="11141" width="11.28515625" style="2" customWidth="1"/>
    <col min="11142" max="11144" width="10.140625" style="2" bestFit="1" customWidth="1"/>
    <col min="11145" max="11145" width="12.28515625" style="2" customWidth="1"/>
    <col min="11146" max="11147" width="5.7109375" style="2"/>
    <col min="11148" max="11148" width="10.28515625" style="2" bestFit="1" customWidth="1"/>
    <col min="11149" max="11154" width="5.7109375" style="2"/>
    <col min="11155" max="11155" width="22" style="2" customWidth="1"/>
    <col min="11156" max="11156" width="16" style="2" customWidth="1"/>
    <col min="11157" max="11157" width="7.140625" style="2" bestFit="1" customWidth="1"/>
    <col min="11158" max="11158" width="9.28515625" style="2" bestFit="1" customWidth="1"/>
    <col min="11159" max="11219" width="5.7109375" style="2"/>
    <col min="11220" max="11220" width="29.42578125" style="2" customWidth="1"/>
    <col min="11221" max="11221" width="4.7109375" style="2" customWidth="1"/>
    <col min="11222" max="11223" width="9.7109375" style="2" customWidth="1"/>
    <col min="11224" max="11224" width="9.42578125" style="2" customWidth="1"/>
    <col min="11225" max="11225" width="9.140625" style="2" customWidth="1"/>
    <col min="11226" max="11226" width="8.85546875" style="2" customWidth="1"/>
    <col min="11227" max="11227" width="9.7109375" style="2" customWidth="1"/>
    <col min="11228" max="11228" width="8.140625" style="2" customWidth="1"/>
    <col min="11229" max="11229" width="10.42578125" style="2" customWidth="1"/>
    <col min="11230" max="11230" width="9.140625" style="2" customWidth="1"/>
    <col min="11231" max="11231" width="9.85546875" style="2" customWidth="1"/>
    <col min="11232" max="11232" width="9.42578125" style="2" customWidth="1"/>
    <col min="11233" max="11233" width="9.5703125" style="2" customWidth="1"/>
    <col min="11234" max="11234" width="9.28515625" style="2" customWidth="1"/>
    <col min="11235" max="11235" width="9.140625" style="2" customWidth="1"/>
    <col min="11236" max="11236" width="9.28515625" style="2" bestFit="1" customWidth="1"/>
    <col min="11237" max="11237" width="10.5703125" style="2" customWidth="1"/>
    <col min="11238" max="11238" width="7.7109375" style="2" customWidth="1"/>
    <col min="11239" max="11239" width="9.140625" style="2" customWidth="1"/>
    <col min="11240" max="11240" width="7.85546875" style="2" customWidth="1"/>
    <col min="11241" max="11241" width="8.7109375" style="2" customWidth="1"/>
    <col min="11242" max="11242" width="9.42578125" style="2" customWidth="1"/>
    <col min="11243" max="11243" width="10.28515625" style="2" customWidth="1"/>
    <col min="11244" max="11244" width="9.85546875" style="2" customWidth="1"/>
    <col min="11245" max="11245" width="10.140625" style="2" customWidth="1"/>
    <col min="11246" max="11247" width="8.140625" style="2" customWidth="1"/>
    <col min="11248" max="11249" width="7.85546875" style="2" customWidth="1"/>
    <col min="11250" max="11250" width="9.140625" style="2" customWidth="1"/>
    <col min="11251" max="11251" width="9.7109375" style="2" customWidth="1"/>
    <col min="11252" max="11252" width="8.28515625" style="2" customWidth="1"/>
    <col min="11253" max="11253" width="9.140625" style="2" customWidth="1"/>
    <col min="11254" max="11254" width="10" style="2" customWidth="1"/>
    <col min="11255" max="11255" width="10.28515625" style="2" customWidth="1"/>
    <col min="11256" max="11256" width="9.85546875" style="2" customWidth="1"/>
    <col min="11257" max="11257" width="9.42578125" style="2" customWidth="1"/>
    <col min="11258" max="11258" width="9.7109375" style="2" customWidth="1"/>
    <col min="11259" max="11259" width="9.42578125" style="2" customWidth="1"/>
    <col min="11260" max="11260" width="9.28515625" style="2" customWidth="1"/>
    <col min="11261" max="11261" width="10.5703125" style="2" customWidth="1"/>
    <col min="11262" max="11263" width="8.85546875" style="2" customWidth="1"/>
    <col min="11264" max="11264" width="8.28515625" style="2" customWidth="1"/>
    <col min="11265" max="11265" width="8.85546875" style="2" customWidth="1"/>
    <col min="11266" max="11266" width="9.5703125" style="2" customWidth="1"/>
    <col min="11267" max="11267" width="8.42578125" style="2" customWidth="1"/>
    <col min="11268" max="11268" width="9.5703125" style="2" customWidth="1"/>
    <col min="11269" max="11269" width="8.28515625" style="2" customWidth="1"/>
    <col min="11270" max="11270" width="9.28515625" style="2" customWidth="1"/>
    <col min="11271" max="11271" width="9.85546875" style="2" customWidth="1"/>
    <col min="11272" max="11272" width="10.28515625" style="2" customWidth="1"/>
    <col min="11273" max="11273" width="10.42578125" style="2" customWidth="1"/>
    <col min="11274" max="11274" width="9.5703125" style="2" customWidth="1"/>
    <col min="11275" max="11275" width="10.140625" style="2" customWidth="1"/>
    <col min="11276" max="11276" width="9.5703125" style="2" customWidth="1"/>
    <col min="11277" max="11277" width="10.28515625" style="2" customWidth="1"/>
    <col min="11278" max="11278" width="10" style="2" customWidth="1"/>
    <col min="11279" max="11279" width="9.140625" style="2" customWidth="1"/>
    <col min="11280" max="11280" width="10.5703125" style="2" customWidth="1"/>
    <col min="11281" max="11281" width="9.28515625" style="2" customWidth="1"/>
    <col min="11282" max="11283" width="9.42578125" style="2" customWidth="1"/>
    <col min="11284" max="11284" width="9" style="2" customWidth="1"/>
    <col min="11285" max="11285" width="11" style="2" customWidth="1"/>
    <col min="11286" max="11286" width="9.28515625" style="2" customWidth="1"/>
    <col min="11287" max="11287" width="9.7109375" style="2" customWidth="1"/>
    <col min="11288" max="11288" width="10.85546875" style="2" customWidth="1"/>
    <col min="11289" max="11289" width="10.5703125" style="2" customWidth="1"/>
    <col min="11290" max="11290" width="10.28515625" style="2" customWidth="1"/>
    <col min="11291" max="11291" width="9.85546875" style="2" customWidth="1"/>
    <col min="11292" max="11292" width="10.28515625" style="2" customWidth="1"/>
    <col min="11293" max="11293" width="9" style="2" customWidth="1"/>
    <col min="11294" max="11294" width="9.85546875" style="2" customWidth="1"/>
    <col min="11295" max="11295" width="9.42578125" style="2" customWidth="1"/>
    <col min="11296" max="11296" width="9.140625" style="2" customWidth="1"/>
    <col min="11297" max="11297" width="11" style="2" customWidth="1"/>
    <col min="11298" max="11298" width="9.28515625" style="2" customWidth="1"/>
    <col min="11299" max="11299" width="9.5703125" style="2" customWidth="1"/>
    <col min="11300" max="11300" width="10.42578125" style="2" customWidth="1"/>
    <col min="11301" max="11301" width="9" style="2" customWidth="1"/>
    <col min="11302" max="11302" width="9.7109375" style="2" customWidth="1"/>
    <col min="11303" max="11303" width="10" style="2" customWidth="1"/>
    <col min="11304" max="11304" width="10.7109375" style="2" customWidth="1"/>
    <col min="11305" max="11305" width="9.42578125" style="2" customWidth="1"/>
    <col min="11306" max="11306" width="10.28515625" style="2" customWidth="1"/>
    <col min="11307" max="11307" width="9.5703125" style="2" customWidth="1"/>
    <col min="11308" max="11308" width="10" style="2" customWidth="1"/>
    <col min="11309" max="11309" width="9" style="2" customWidth="1"/>
    <col min="11310" max="11310" width="10.5703125" style="2" customWidth="1"/>
    <col min="11311" max="11311" width="11.28515625" style="2" customWidth="1"/>
    <col min="11312" max="11312" width="10.5703125" style="2" customWidth="1"/>
    <col min="11313" max="11313" width="9.7109375" style="2" customWidth="1"/>
    <col min="11314" max="11314" width="9.5703125" style="2" customWidth="1"/>
    <col min="11315" max="11315" width="10.5703125" style="2" customWidth="1"/>
    <col min="11316" max="11316" width="10.42578125" style="2" customWidth="1"/>
    <col min="11317" max="11317" width="9.85546875" style="2" customWidth="1"/>
    <col min="11318" max="11318" width="10.5703125" style="2" bestFit="1" customWidth="1"/>
    <col min="11319" max="11321" width="10.140625" style="2" bestFit="1" customWidth="1"/>
    <col min="11322" max="11322" width="8.85546875" style="2" customWidth="1"/>
    <col min="11323" max="11323" width="9.140625" style="2" bestFit="1" customWidth="1"/>
    <col min="11324" max="11325" width="10.140625" style="2" customWidth="1"/>
    <col min="11326" max="11326" width="10" style="2" customWidth="1"/>
    <col min="11327" max="11327" width="8.28515625" style="2" customWidth="1"/>
    <col min="11328" max="11328" width="9" style="2" customWidth="1"/>
    <col min="11329" max="11329" width="10.5703125" style="2" customWidth="1"/>
    <col min="11330" max="11330" width="10.140625" style="2" customWidth="1"/>
    <col min="11331" max="11331" width="9.7109375" style="2" customWidth="1"/>
    <col min="11332" max="11332" width="9.140625" style="2" customWidth="1"/>
    <col min="11333" max="11333" width="10.140625" style="2" customWidth="1"/>
    <col min="11334" max="11334" width="9" style="2" customWidth="1"/>
    <col min="11335" max="11335" width="9.28515625" style="2" customWidth="1"/>
    <col min="11336" max="11336" width="11" style="2" customWidth="1"/>
    <col min="11337" max="11337" width="10.140625" style="2" customWidth="1"/>
    <col min="11338" max="11338" width="10.7109375" style="2" customWidth="1"/>
    <col min="11339" max="11339" width="9.85546875" style="2" customWidth="1"/>
    <col min="11340" max="11340" width="11" style="2" customWidth="1"/>
    <col min="11341" max="11341" width="10" style="2" customWidth="1"/>
    <col min="11342" max="11342" width="9.140625" style="2" customWidth="1"/>
    <col min="11343" max="11343" width="10.28515625" style="2" customWidth="1"/>
    <col min="11344" max="11344" width="10.5703125" style="2" customWidth="1"/>
    <col min="11345" max="11345" width="9.85546875" style="2" customWidth="1"/>
    <col min="11346" max="11346" width="10.7109375" style="2" customWidth="1"/>
    <col min="11347" max="11347" width="9.42578125" style="2" customWidth="1"/>
    <col min="11348" max="11348" width="10.42578125" style="2" customWidth="1"/>
    <col min="11349" max="11349" width="9.85546875" style="2" customWidth="1"/>
    <col min="11350" max="11350" width="10.7109375" style="2" customWidth="1"/>
    <col min="11351" max="11351" width="10.140625" style="2" customWidth="1"/>
    <col min="11352" max="11352" width="10.28515625" style="2" customWidth="1"/>
    <col min="11353" max="11353" width="9" style="2" customWidth="1"/>
    <col min="11354" max="11354" width="11.140625" style="2" customWidth="1"/>
    <col min="11355" max="11355" width="10.28515625" style="2" customWidth="1"/>
    <col min="11356" max="11356" width="9.42578125" style="2" customWidth="1"/>
    <col min="11357" max="11357" width="10.42578125" style="2" customWidth="1"/>
    <col min="11358" max="11358" width="9.42578125" style="2" customWidth="1"/>
    <col min="11359" max="11359" width="9" style="2" customWidth="1"/>
    <col min="11360" max="11360" width="10.28515625" style="2" customWidth="1"/>
    <col min="11361" max="11361" width="8.42578125" style="2" customWidth="1"/>
    <col min="11362" max="11362" width="9.7109375" style="2" customWidth="1"/>
    <col min="11363" max="11363" width="8.7109375" style="2" customWidth="1"/>
    <col min="11364" max="11364" width="9.42578125" style="2" customWidth="1"/>
    <col min="11365" max="11365" width="10.85546875" style="2" customWidth="1"/>
    <col min="11366" max="11366" width="9.7109375" style="2" customWidth="1"/>
    <col min="11367" max="11367" width="11.42578125" style="2" customWidth="1"/>
    <col min="11368" max="11368" width="11" style="2" customWidth="1"/>
    <col min="11369" max="11369" width="9.42578125" style="2" customWidth="1"/>
    <col min="11370" max="11370" width="10.28515625" style="2" customWidth="1"/>
    <col min="11371" max="11371" width="10.42578125" style="2" customWidth="1"/>
    <col min="11372" max="11372" width="10.28515625" style="2" customWidth="1"/>
    <col min="11373" max="11374" width="9.140625" style="2" bestFit="1" customWidth="1"/>
    <col min="11375" max="11375" width="10" style="2" customWidth="1"/>
    <col min="11376" max="11376" width="9.140625" style="2" customWidth="1"/>
    <col min="11377" max="11377" width="9.85546875" style="2" customWidth="1"/>
    <col min="11378" max="11378" width="9.5703125" style="2" customWidth="1"/>
    <col min="11379" max="11379" width="10.85546875" style="2" customWidth="1"/>
    <col min="11380" max="11380" width="10.5703125" style="2" customWidth="1"/>
    <col min="11381" max="11381" width="10.28515625" style="2" customWidth="1"/>
    <col min="11382" max="11382" width="9.5703125" style="2" customWidth="1"/>
    <col min="11383" max="11383" width="9.28515625" style="2" customWidth="1"/>
    <col min="11384" max="11384" width="10.28515625" style="2" customWidth="1"/>
    <col min="11385" max="11385" width="10" style="2" customWidth="1"/>
    <col min="11386" max="11386" width="9" style="2" customWidth="1"/>
    <col min="11387" max="11387" width="10.42578125" style="2" customWidth="1"/>
    <col min="11388" max="11389" width="9.85546875" style="2" customWidth="1"/>
    <col min="11390" max="11390" width="10" style="2" customWidth="1"/>
    <col min="11391" max="11391" width="8.28515625" style="2" customWidth="1"/>
    <col min="11392" max="11392" width="9.85546875" style="2" customWidth="1"/>
    <col min="11393" max="11393" width="11.5703125" style="2" customWidth="1"/>
    <col min="11394" max="11394" width="9.140625" style="2" bestFit="1" customWidth="1"/>
    <col min="11395" max="11395" width="10" style="2" customWidth="1"/>
    <col min="11396" max="11396" width="8" style="2" customWidth="1"/>
    <col min="11397" max="11397" width="11.28515625" style="2" customWidth="1"/>
    <col min="11398" max="11400" width="10.140625" style="2" bestFit="1" customWidth="1"/>
    <col min="11401" max="11401" width="12.28515625" style="2" customWidth="1"/>
    <col min="11402" max="11403" width="5.7109375" style="2"/>
    <col min="11404" max="11404" width="10.28515625" style="2" bestFit="1" customWidth="1"/>
    <col min="11405" max="11410" width="5.7109375" style="2"/>
    <col min="11411" max="11411" width="22" style="2" customWidth="1"/>
    <col min="11412" max="11412" width="16" style="2" customWidth="1"/>
    <col min="11413" max="11413" width="7.140625" style="2" bestFit="1" customWidth="1"/>
    <col min="11414" max="11414" width="9.28515625" style="2" bestFit="1" customWidth="1"/>
    <col min="11415" max="11475" width="5.7109375" style="2"/>
    <col min="11476" max="11476" width="29.42578125" style="2" customWidth="1"/>
    <col min="11477" max="11477" width="4.7109375" style="2" customWidth="1"/>
    <col min="11478" max="11479" width="9.7109375" style="2" customWidth="1"/>
    <col min="11480" max="11480" width="9.42578125" style="2" customWidth="1"/>
    <col min="11481" max="11481" width="9.140625" style="2" customWidth="1"/>
    <col min="11482" max="11482" width="8.85546875" style="2" customWidth="1"/>
    <col min="11483" max="11483" width="9.7109375" style="2" customWidth="1"/>
    <col min="11484" max="11484" width="8.140625" style="2" customWidth="1"/>
    <col min="11485" max="11485" width="10.42578125" style="2" customWidth="1"/>
    <col min="11486" max="11486" width="9.140625" style="2" customWidth="1"/>
    <col min="11487" max="11487" width="9.85546875" style="2" customWidth="1"/>
    <col min="11488" max="11488" width="9.42578125" style="2" customWidth="1"/>
    <col min="11489" max="11489" width="9.5703125" style="2" customWidth="1"/>
    <col min="11490" max="11490" width="9.28515625" style="2" customWidth="1"/>
    <col min="11491" max="11491" width="9.140625" style="2" customWidth="1"/>
    <col min="11492" max="11492" width="9.28515625" style="2" bestFit="1" customWidth="1"/>
    <col min="11493" max="11493" width="10.5703125" style="2" customWidth="1"/>
    <col min="11494" max="11494" width="7.7109375" style="2" customWidth="1"/>
    <col min="11495" max="11495" width="9.140625" style="2" customWidth="1"/>
    <col min="11496" max="11496" width="7.85546875" style="2" customWidth="1"/>
    <col min="11497" max="11497" width="8.7109375" style="2" customWidth="1"/>
    <col min="11498" max="11498" width="9.42578125" style="2" customWidth="1"/>
    <col min="11499" max="11499" width="10.28515625" style="2" customWidth="1"/>
    <col min="11500" max="11500" width="9.85546875" style="2" customWidth="1"/>
    <col min="11501" max="11501" width="10.140625" style="2" customWidth="1"/>
    <col min="11502" max="11503" width="8.140625" style="2" customWidth="1"/>
    <col min="11504" max="11505" width="7.85546875" style="2" customWidth="1"/>
    <col min="11506" max="11506" width="9.140625" style="2" customWidth="1"/>
    <col min="11507" max="11507" width="9.7109375" style="2" customWidth="1"/>
    <col min="11508" max="11508" width="8.28515625" style="2" customWidth="1"/>
    <col min="11509" max="11509" width="9.140625" style="2" customWidth="1"/>
    <col min="11510" max="11510" width="10" style="2" customWidth="1"/>
    <col min="11511" max="11511" width="10.28515625" style="2" customWidth="1"/>
    <col min="11512" max="11512" width="9.85546875" style="2" customWidth="1"/>
    <col min="11513" max="11513" width="9.42578125" style="2" customWidth="1"/>
    <col min="11514" max="11514" width="9.7109375" style="2" customWidth="1"/>
    <col min="11515" max="11515" width="9.42578125" style="2" customWidth="1"/>
    <col min="11516" max="11516" width="9.28515625" style="2" customWidth="1"/>
    <col min="11517" max="11517" width="10.5703125" style="2" customWidth="1"/>
    <col min="11518" max="11519" width="8.85546875" style="2" customWidth="1"/>
    <col min="11520" max="11520" width="8.28515625" style="2" customWidth="1"/>
    <col min="11521" max="11521" width="8.85546875" style="2" customWidth="1"/>
    <col min="11522" max="11522" width="9.5703125" style="2" customWidth="1"/>
    <col min="11523" max="11523" width="8.42578125" style="2" customWidth="1"/>
    <col min="11524" max="11524" width="9.5703125" style="2" customWidth="1"/>
    <col min="11525" max="11525" width="8.28515625" style="2" customWidth="1"/>
    <col min="11526" max="11526" width="9.28515625" style="2" customWidth="1"/>
    <col min="11527" max="11527" width="9.85546875" style="2" customWidth="1"/>
    <col min="11528" max="11528" width="10.28515625" style="2" customWidth="1"/>
    <col min="11529" max="11529" width="10.42578125" style="2" customWidth="1"/>
    <col min="11530" max="11530" width="9.5703125" style="2" customWidth="1"/>
    <col min="11531" max="11531" width="10.140625" style="2" customWidth="1"/>
    <col min="11532" max="11532" width="9.5703125" style="2" customWidth="1"/>
    <col min="11533" max="11533" width="10.28515625" style="2" customWidth="1"/>
    <col min="11534" max="11534" width="10" style="2" customWidth="1"/>
    <col min="11535" max="11535" width="9.140625" style="2" customWidth="1"/>
    <col min="11536" max="11536" width="10.5703125" style="2" customWidth="1"/>
    <col min="11537" max="11537" width="9.28515625" style="2" customWidth="1"/>
    <col min="11538" max="11539" width="9.42578125" style="2" customWidth="1"/>
    <col min="11540" max="11540" width="9" style="2" customWidth="1"/>
    <col min="11541" max="11541" width="11" style="2" customWidth="1"/>
    <col min="11542" max="11542" width="9.28515625" style="2" customWidth="1"/>
    <col min="11543" max="11543" width="9.7109375" style="2" customWidth="1"/>
    <col min="11544" max="11544" width="10.85546875" style="2" customWidth="1"/>
    <col min="11545" max="11545" width="10.5703125" style="2" customWidth="1"/>
    <col min="11546" max="11546" width="10.28515625" style="2" customWidth="1"/>
    <col min="11547" max="11547" width="9.85546875" style="2" customWidth="1"/>
    <col min="11548" max="11548" width="10.28515625" style="2" customWidth="1"/>
    <col min="11549" max="11549" width="9" style="2" customWidth="1"/>
    <col min="11550" max="11550" width="9.85546875" style="2" customWidth="1"/>
    <col min="11551" max="11551" width="9.42578125" style="2" customWidth="1"/>
    <col min="11552" max="11552" width="9.140625" style="2" customWidth="1"/>
    <col min="11553" max="11553" width="11" style="2" customWidth="1"/>
    <col min="11554" max="11554" width="9.28515625" style="2" customWidth="1"/>
    <col min="11555" max="11555" width="9.5703125" style="2" customWidth="1"/>
    <col min="11556" max="11556" width="10.42578125" style="2" customWidth="1"/>
    <col min="11557" max="11557" width="9" style="2" customWidth="1"/>
    <col min="11558" max="11558" width="9.7109375" style="2" customWidth="1"/>
    <col min="11559" max="11559" width="10" style="2" customWidth="1"/>
    <col min="11560" max="11560" width="10.7109375" style="2" customWidth="1"/>
    <col min="11561" max="11561" width="9.42578125" style="2" customWidth="1"/>
    <col min="11562" max="11562" width="10.28515625" style="2" customWidth="1"/>
    <col min="11563" max="11563" width="9.5703125" style="2" customWidth="1"/>
    <col min="11564" max="11564" width="10" style="2" customWidth="1"/>
    <col min="11565" max="11565" width="9" style="2" customWidth="1"/>
    <col min="11566" max="11566" width="10.5703125" style="2" customWidth="1"/>
    <col min="11567" max="11567" width="11.28515625" style="2" customWidth="1"/>
    <col min="11568" max="11568" width="10.5703125" style="2" customWidth="1"/>
    <col min="11569" max="11569" width="9.7109375" style="2" customWidth="1"/>
    <col min="11570" max="11570" width="9.5703125" style="2" customWidth="1"/>
    <col min="11571" max="11571" width="10.5703125" style="2" customWidth="1"/>
    <col min="11572" max="11572" width="10.42578125" style="2" customWidth="1"/>
    <col min="11573" max="11573" width="9.85546875" style="2" customWidth="1"/>
    <col min="11574" max="11574" width="10.5703125" style="2" bestFit="1" customWidth="1"/>
    <col min="11575" max="11577" width="10.140625" style="2" bestFit="1" customWidth="1"/>
    <col min="11578" max="11578" width="8.85546875" style="2" customWidth="1"/>
    <col min="11579" max="11579" width="9.140625" style="2" bestFit="1" customWidth="1"/>
    <col min="11580" max="11581" width="10.140625" style="2" customWidth="1"/>
    <col min="11582" max="11582" width="10" style="2" customWidth="1"/>
    <col min="11583" max="11583" width="8.28515625" style="2" customWidth="1"/>
    <col min="11584" max="11584" width="9" style="2" customWidth="1"/>
    <col min="11585" max="11585" width="10.5703125" style="2" customWidth="1"/>
    <col min="11586" max="11586" width="10.140625" style="2" customWidth="1"/>
    <col min="11587" max="11587" width="9.7109375" style="2" customWidth="1"/>
    <col min="11588" max="11588" width="9.140625" style="2" customWidth="1"/>
    <col min="11589" max="11589" width="10.140625" style="2" customWidth="1"/>
    <col min="11590" max="11590" width="9" style="2" customWidth="1"/>
    <col min="11591" max="11591" width="9.28515625" style="2" customWidth="1"/>
    <col min="11592" max="11592" width="11" style="2" customWidth="1"/>
    <col min="11593" max="11593" width="10.140625" style="2" customWidth="1"/>
    <col min="11594" max="11594" width="10.7109375" style="2" customWidth="1"/>
    <col min="11595" max="11595" width="9.85546875" style="2" customWidth="1"/>
    <col min="11596" max="11596" width="11" style="2" customWidth="1"/>
    <col min="11597" max="11597" width="10" style="2" customWidth="1"/>
    <col min="11598" max="11598" width="9.140625" style="2" customWidth="1"/>
    <col min="11599" max="11599" width="10.28515625" style="2" customWidth="1"/>
    <col min="11600" max="11600" width="10.5703125" style="2" customWidth="1"/>
    <col min="11601" max="11601" width="9.85546875" style="2" customWidth="1"/>
    <col min="11602" max="11602" width="10.7109375" style="2" customWidth="1"/>
    <col min="11603" max="11603" width="9.42578125" style="2" customWidth="1"/>
    <col min="11604" max="11604" width="10.42578125" style="2" customWidth="1"/>
    <col min="11605" max="11605" width="9.85546875" style="2" customWidth="1"/>
    <col min="11606" max="11606" width="10.7109375" style="2" customWidth="1"/>
    <col min="11607" max="11607" width="10.140625" style="2" customWidth="1"/>
    <col min="11608" max="11608" width="10.28515625" style="2" customWidth="1"/>
    <col min="11609" max="11609" width="9" style="2" customWidth="1"/>
    <col min="11610" max="11610" width="11.140625" style="2" customWidth="1"/>
    <col min="11611" max="11611" width="10.28515625" style="2" customWidth="1"/>
    <col min="11612" max="11612" width="9.42578125" style="2" customWidth="1"/>
    <col min="11613" max="11613" width="10.42578125" style="2" customWidth="1"/>
    <col min="11614" max="11614" width="9.42578125" style="2" customWidth="1"/>
    <col min="11615" max="11615" width="9" style="2" customWidth="1"/>
    <col min="11616" max="11616" width="10.28515625" style="2" customWidth="1"/>
    <col min="11617" max="11617" width="8.42578125" style="2" customWidth="1"/>
    <col min="11618" max="11618" width="9.7109375" style="2" customWidth="1"/>
    <col min="11619" max="11619" width="8.7109375" style="2" customWidth="1"/>
    <col min="11620" max="11620" width="9.42578125" style="2" customWidth="1"/>
    <col min="11621" max="11621" width="10.85546875" style="2" customWidth="1"/>
    <col min="11622" max="11622" width="9.7109375" style="2" customWidth="1"/>
    <col min="11623" max="11623" width="11.42578125" style="2" customWidth="1"/>
    <col min="11624" max="11624" width="11" style="2" customWidth="1"/>
    <col min="11625" max="11625" width="9.42578125" style="2" customWidth="1"/>
    <col min="11626" max="11626" width="10.28515625" style="2" customWidth="1"/>
    <col min="11627" max="11627" width="10.42578125" style="2" customWidth="1"/>
    <col min="11628" max="11628" width="10.28515625" style="2" customWidth="1"/>
    <col min="11629" max="11630" width="9.140625" style="2" bestFit="1" customWidth="1"/>
    <col min="11631" max="11631" width="10" style="2" customWidth="1"/>
    <col min="11632" max="11632" width="9.140625" style="2" customWidth="1"/>
    <col min="11633" max="11633" width="9.85546875" style="2" customWidth="1"/>
    <col min="11634" max="11634" width="9.5703125" style="2" customWidth="1"/>
    <col min="11635" max="11635" width="10.85546875" style="2" customWidth="1"/>
    <col min="11636" max="11636" width="10.5703125" style="2" customWidth="1"/>
    <col min="11637" max="11637" width="10.28515625" style="2" customWidth="1"/>
    <col min="11638" max="11638" width="9.5703125" style="2" customWidth="1"/>
    <col min="11639" max="11639" width="9.28515625" style="2" customWidth="1"/>
    <col min="11640" max="11640" width="10.28515625" style="2" customWidth="1"/>
    <col min="11641" max="11641" width="10" style="2" customWidth="1"/>
    <col min="11642" max="11642" width="9" style="2" customWidth="1"/>
    <col min="11643" max="11643" width="10.42578125" style="2" customWidth="1"/>
    <col min="11644" max="11645" width="9.85546875" style="2" customWidth="1"/>
    <col min="11646" max="11646" width="10" style="2" customWidth="1"/>
    <col min="11647" max="11647" width="8.28515625" style="2" customWidth="1"/>
    <col min="11648" max="11648" width="9.85546875" style="2" customWidth="1"/>
    <col min="11649" max="11649" width="11.5703125" style="2" customWidth="1"/>
    <col min="11650" max="11650" width="9.140625" style="2" bestFit="1" customWidth="1"/>
    <col min="11651" max="11651" width="10" style="2" customWidth="1"/>
    <col min="11652" max="11652" width="8" style="2" customWidth="1"/>
    <col min="11653" max="11653" width="11.28515625" style="2" customWidth="1"/>
    <col min="11654" max="11656" width="10.140625" style="2" bestFit="1" customWidth="1"/>
    <col min="11657" max="11657" width="12.28515625" style="2" customWidth="1"/>
    <col min="11658" max="11659" width="5.7109375" style="2"/>
    <col min="11660" max="11660" width="10.28515625" style="2" bestFit="1" customWidth="1"/>
    <col min="11661" max="11666" width="5.7109375" style="2"/>
    <col min="11667" max="11667" width="22" style="2" customWidth="1"/>
    <col min="11668" max="11668" width="16" style="2" customWidth="1"/>
    <col min="11669" max="11669" width="7.140625" style="2" bestFit="1" customWidth="1"/>
    <col min="11670" max="11670" width="9.28515625" style="2" bestFit="1" customWidth="1"/>
    <col min="11671" max="11731" width="5.7109375" style="2"/>
    <col min="11732" max="11732" width="29.42578125" style="2" customWidth="1"/>
    <col min="11733" max="11733" width="4.7109375" style="2" customWidth="1"/>
    <col min="11734" max="11735" width="9.7109375" style="2" customWidth="1"/>
    <col min="11736" max="11736" width="9.42578125" style="2" customWidth="1"/>
    <col min="11737" max="11737" width="9.140625" style="2" customWidth="1"/>
    <col min="11738" max="11738" width="8.85546875" style="2" customWidth="1"/>
    <col min="11739" max="11739" width="9.7109375" style="2" customWidth="1"/>
    <col min="11740" max="11740" width="8.140625" style="2" customWidth="1"/>
    <col min="11741" max="11741" width="10.42578125" style="2" customWidth="1"/>
    <col min="11742" max="11742" width="9.140625" style="2" customWidth="1"/>
    <col min="11743" max="11743" width="9.85546875" style="2" customWidth="1"/>
    <col min="11744" max="11744" width="9.42578125" style="2" customWidth="1"/>
    <col min="11745" max="11745" width="9.5703125" style="2" customWidth="1"/>
    <col min="11746" max="11746" width="9.28515625" style="2" customWidth="1"/>
    <col min="11747" max="11747" width="9.140625" style="2" customWidth="1"/>
    <col min="11748" max="11748" width="9.28515625" style="2" bestFit="1" customWidth="1"/>
    <col min="11749" max="11749" width="10.5703125" style="2" customWidth="1"/>
    <col min="11750" max="11750" width="7.7109375" style="2" customWidth="1"/>
    <col min="11751" max="11751" width="9.140625" style="2" customWidth="1"/>
    <col min="11752" max="11752" width="7.85546875" style="2" customWidth="1"/>
    <col min="11753" max="11753" width="8.7109375" style="2" customWidth="1"/>
    <col min="11754" max="11754" width="9.42578125" style="2" customWidth="1"/>
    <col min="11755" max="11755" width="10.28515625" style="2" customWidth="1"/>
    <col min="11756" max="11756" width="9.85546875" style="2" customWidth="1"/>
    <col min="11757" max="11757" width="10.140625" style="2" customWidth="1"/>
    <col min="11758" max="11759" width="8.140625" style="2" customWidth="1"/>
    <col min="11760" max="11761" width="7.85546875" style="2" customWidth="1"/>
    <col min="11762" max="11762" width="9.140625" style="2" customWidth="1"/>
    <col min="11763" max="11763" width="9.7109375" style="2" customWidth="1"/>
    <col min="11764" max="11764" width="8.28515625" style="2" customWidth="1"/>
    <col min="11765" max="11765" width="9.140625" style="2" customWidth="1"/>
    <col min="11766" max="11766" width="10" style="2" customWidth="1"/>
    <col min="11767" max="11767" width="10.28515625" style="2" customWidth="1"/>
    <col min="11768" max="11768" width="9.85546875" style="2" customWidth="1"/>
    <col min="11769" max="11769" width="9.42578125" style="2" customWidth="1"/>
    <col min="11770" max="11770" width="9.7109375" style="2" customWidth="1"/>
    <col min="11771" max="11771" width="9.42578125" style="2" customWidth="1"/>
    <col min="11772" max="11772" width="9.28515625" style="2" customWidth="1"/>
    <col min="11773" max="11773" width="10.5703125" style="2" customWidth="1"/>
    <col min="11774" max="11775" width="8.85546875" style="2" customWidth="1"/>
    <col min="11776" max="11776" width="8.28515625" style="2" customWidth="1"/>
    <col min="11777" max="11777" width="8.85546875" style="2" customWidth="1"/>
    <col min="11778" max="11778" width="9.5703125" style="2" customWidth="1"/>
    <col min="11779" max="11779" width="8.42578125" style="2" customWidth="1"/>
    <col min="11780" max="11780" width="9.5703125" style="2" customWidth="1"/>
    <col min="11781" max="11781" width="8.28515625" style="2" customWidth="1"/>
    <col min="11782" max="11782" width="9.28515625" style="2" customWidth="1"/>
    <col min="11783" max="11783" width="9.85546875" style="2" customWidth="1"/>
    <col min="11784" max="11784" width="10.28515625" style="2" customWidth="1"/>
    <col min="11785" max="11785" width="10.42578125" style="2" customWidth="1"/>
    <col min="11786" max="11786" width="9.5703125" style="2" customWidth="1"/>
    <col min="11787" max="11787" width="10.140625" style="2" customWidth="1"/>
    <col min="11788" max="11788" width="9.5703125" style="2" customWidth="1"/>
    <col min="11789" max="11789" width="10.28515625" style="2" customWidth="1"/>
    <col min="11790" max="11790" width="10" style="2" customWidth="1"/>
    <col min="11791" max="11791" width="9.140625" style="2" customWidth="1"/>
    <col min="11792" max="11792" width="10.5703125" style="2" customWidth="1"/>
    <col min="11793" max="11793" width="9.28515625" style="2" customWidth="1"/>
    <col min="11794" max="11795" width="9.42578125" style="2" customWidth="1"/>
    <col min="11796" max="11796" width="9" style="2" customWidth="1"/>
    <col min="11797" max="11797" width="11" style="2" customWidth="1"/>
    <col min="11798" max="11798" width="9.28515625" style="2" customWidth="1"/>
    <col min="11799" max="11799" width="9.7109375" style="2" customWidth="1"/>
    <col min="11800" max="11800" width="10.85546875" style="2" customWidth="1"/>
    <col min="11801" max="11801" width="10.5703125" style="2" customWidth="1"/>
    <col min="11802" max="11802" width="10.28515625" style="2" customWidth="1"/>
    <col min="11803" max="11803" width="9.85546875" style="2" customWidth="1"/>
    <col min="11804" max="11804" width="10.28515625" style="2" customWidth="1"/>
    <col min="11805" max="11805" width="9" style="2" customWidth="1"/>
    <col min="11806" max="11806" width="9.85546875" style="2" customWidth="1"/>
    <col min="11807" max="11807" width="9.42578125" style="2" customWidth="1"/>
    <col min="11808" max="11808" width="9.140625" style="2" customWidth="1"/>
    <col min="11809" max="11809" width="11" style="2" customWidth="1"/>
    <col min="11810" max="11810" width="9.28515625" style="2" customWidth="1"/>
    <col min="11811" max="11811" width="9.5703125" style="2" customWidth="1"/>
    <col min="11812" max="11812" width="10.42578125" style="2" customWidth="1"/>
    <col min="11813" max="11813" width="9" style="2" customWidth="1"/>
    <col min="11814" max="11814" width="9.7109375" style="2" customWidth="1"/>
    <col min="11815" max="11815" width="10" style="2" customWidth="1"/>
    <col min="11816" max="11816" width="10.7109375" style="2" customWidth="1"/>
    <col min="11817" max="11817" width="9.42578125" style="2" customWidth="1"/>
    <col min="11818" max="11818" width="10.28515625" style="2" customWidth="1"/>
    <col min="11819" max="11819" width="9.5703125" style="2" customWidth="1"/>
    <col min="11820" max="11820" width="10" style="2" customWidth="1"/>
    <col min="11821" max="11821" width="9" style="2" customWidth="1"/>
    <col min="11822" max="11822" width="10.5703125" style="2" customWidth="1"/>
    <col min="11823" max="11823" width="11.28515625" style="2" customWidth="1"/>
    <col min="11824" max="11824" width="10.5703125" style="2" customWidth="1"/>
    <col min="11825" max="11825" width="9.7109375" style="2" customWidth="1"/>
    <col min="11826" max="11826" width="9.5703125" style="2" customWidth="1"/>
    <col min="11827" max="11827" width="10.5703125" style="2" customWidth="1"/>
    <col min="11828" max="11828" width="10.42578125" style="2" customWidth="1"/>
    <col min="11829" max="11829" width="9.85546875" style="2" customWidth="1"/>
    <col min="11830" max="11830" width="10.5703125" style="2" bestFit="1" customWidth="1"/>
    <col min="11831" max="11833" width="10.140625" style="2" bestFit="1" customWidth="1"/>
    <col min="11834" max="11834" width="8.85546875" style="2" customWidth="1"/>
    <col min="11835" max="11835" width="9.140625" style="2" bestFit="1" customWidth="1"/>
    <col min="11836" max="11837" width="10.140625" style="2" customWidth="1"/>
    <col min="11838" max="11838" width="10" style="2" customWidth="1"/>
    <col min="11839" max="11839" width="8.28515625" style="2" customWidth="1"/>
    <col min="11840" max="11840" width="9" style="2" customWidth="1"/>
    <col min="11841" max="11841" width="10.5703125" style="2" customWidth="1"/>
    <col min="11842" max="11842" width="10.140625" style="2" customWidth="1"/>
    <col min="11843" max="11843" width="9.7109375" style="2" customWidth="1"/>
    <col min="11844" max="11844" width="9.140625" style="2" customWidth="1"/>
    <col min="11845" max="11845" width="10.140625" style="2" customWidth="1"/>
    <col min="11846" max="11846" width="9" style="2" customWidth="1"/>
    <col min="11847" max="11847" width="9.28515625" style="2" customWidth="1"/>
    <col min="11848" max="11848" width="11" style="2" customWidth="1"/>
    <col min="11849" max="11849" width="10.140625" style="2" customWidth="1"/>
    <col min="11850" max="11850" width="10.7109375" style="2" customWidth="1"/>
    <col min="11851" max="11851" width="9.85546875" style="2" customWidth="1"/>
    <col min="11852" max="11852" width="11" style="2" customWidth="1"/>
    <col min="11853" max="11853" width="10" style="2" customWidth="1"/>
    <col min="11854" max="11854" width="9.140625" style="2" customWidth="1"/>
    <col min="11855" max="11855" width="10.28515625" style="2" customWidth="1"/>
    <col min="11856" max="11856" width="10.5703125" style="2" customWidth="1"/>
    <col min="11857" max="11857" width="9.85546875" style="2" customWidth="1"/>
    <col min="11858" max="11858" width="10.7109375" style="2" customWidth="1"/>
    <col min="11859" max="11859" width="9.42578125" style="2" customWidth="1"/>
    <col min="11860" max="11860" width="10.42578125" style="2" customWidth="1"/>
    <col min="11861" max="11861" width="9.85546875" style="2" customWidth="1"/>
    <col min="11862" max="11862" width="10.7109375" style="2" customWidth="1"/>
    <col min="11863" max="11863" width="10.140625" style="2" customWidth="1"/>
    <col min="11864" max="11864" width="10.28515625" style="2" customWidth="1"/>
    <col min="11865" max="11865" width="9" style="2" customWidth="1"/>
    <col min="11866" max="11866" width="11.140625" style="2" customWidth="1"/>
    <col min="11867" max="11867" width="10.28515625" style="2" customWidth="1"/>
    <col min="11868" max="11868" width="9.42578125" style="2" customWidth="1"/>
    <col min="11869" max="11869" width="10.42578125" style="2" customWidth="1"/>
    <col min="11870" max="11870" width="9.42578125" style="2" customWidth="1"/>
    <col min="11871" max="11871" width="9" style="2" customWidth="1"/>
    <col min="11872" max="11872" width="10.28515625" style="2" customWidth="1"/>
    <col min="11873" max="11873" width="8.42578125" style="2" customWidth="1"/>
    <col min="11874" max="11874" width="9.7109375" style="2" customWidth="1"/>
    <col min="11875" max="11875" width="8.7109375" style="2" customWidth="1"/>
    <col min="11876" max="11876" width="9.42578125" style="2" customWidth="1"/>
    <col min="11877" max="11877" width="10.85546875" style="2" customWidth="1"/>
    <col min="11878" max="11878" width="9.7109375" style="2" customWidth="1"/>
    <col min="11879" max="11879" width="11.42578125" style="2" customWidth="1"/>
    <col min="11880" max="11880" width="11" style="2" customWidth="1"/>
    <col min="11881" max="11881" width="9.42578125" style="2" customWidth="1"/>
    <col min="11882" max="11882" width="10.28515625" style="2" customWidth="1"/>
    <col min="11883" max="11883" width="10.42578125" style="2" customWidth="1"/>
    <col min="11884" max="11884" width="10.28515625" style="2" customWidth="1"/>
    <col min="11885" max="11886" width="9.140625" style="2" bestFit="1" customWidth="1"/>
    <col min="11887" max="11887" width="10" style="2" customWidth="1"/>
    <col min="11888" max="11888" width="9.140625" style="2" customWidth="1"/>
    <col min="11889" max="11889" width="9.85546875" style="2" customWidth="1"/>
    <col min="11890" max="11890" width="9.5703125" style="2" customWidth="1"/>
    <col min="11891" max="11891" width="10.85546875" style="2" customWidth="1"/>
    <col min="11892" max="11892" width="10.5703125" style="2" customWidth="1"/>
    <col min="11893" max="11893" width="10.28515625" style="2" customWidth="1"/>
    <col min="11894" max="11894" width="9.5703125" style="2" customWidth="1"/>
    <col min="11895" max="11895" width="9.28515625" style="2" customWidth="1"/>
    <col min="11896" max="11896" width="10.28515625" style="2" customWidth="1"/>
    <col min="11897" max="11897" width="10" style="2" customWidth="1"/>
    <col min="11898" max="11898" width="9" style="2" customWidth="1"/>
    <col min="11899" max="11899" width="10.42578125" style="2" customWidth="1"/>
    <col min="11900" max="11901" width="9.85546875" style="2" customWidth="1"/>
    <col min="11902" max="11902" width="10" style="2" customWidth="1"/>
    <col min="11903" max="11903" width="8.28515625" style="2" customWidth="1"/>
    <col min="11904" max="11904" width="9.85546875" style="2" customWidth="1"/>
    <col min="11905" max="11905" width="11.5703125" style="2" customWidth="1"/>
    <col min="11906" max="11906" width="9.140625" style="2" bestFit="1" customWidth="1"/>
    <col min="11907" max="11907" width="10" style="2" customWidth="1"/>
    <col min="11908" max="11908" width="8" style="2" customWidth="1"/>
    <col min="11909" max="11909" width="11.28515625" style="2" customWidth="1"/>
    <col min="11910" max="11912" width="10.140625" style="2" bestFit="1" customWidth="1"/>
    <col min="11913" max="11913" width="12.28515625" style="2" customWidth="1"/>
    <col min="11914" max="11915" width="5.7109375" style="2"/>
    <col min="11916" max="11916" width="10.28515625" style="2" bestFit="1" customWidth="1"/>
    <col min="11917" max="11922" width="5.7109375" style="2"/>
    <col min="11923" max="11923" width="22" style="2" customWidth="1"/>
    <col min="11924" max="11924" width="16" style="2" customWidth="1"/>
    <col min="11925" max="11925" width="7.140625" style="2" bestFit="1" customWidth="1"/>
    <col min="11926" max="11926" width="9.28515625" style="2" bestFit="1" customWidth="1"/>
    <col min="11927" max="11987" width="5.7109375" style="2"/>
    <col min="11988" max="11988" width="29.42578125" style="2" customWidth="1"/>
    <col min="11989" max="11989" width="4.7109375" style="2" customWidth="1"/>
    <col min="11990" max="11991" width="9.7109375" style="2" customWidth="1"/>
    <col min="11992" max="11992" width="9.42578125" style="2" customWidth="1"/>
    <col min="11993" max="11993" width="9.140625" style="2" customWidth="1"/>
    <col min="11994" max="11994" width="8.85546875" style="2" customWidth="1"/>
    <col min="11995" max="11995" width="9.7109375" style="2" customWidth="1"/>
    <col min="11996" max="11996" width="8.140625" style="2" customWidth="1"/>
    <col min="11997" max="11997" width="10.42578125" style="2" customWidth="1"/>
    <col min="11998" max="11998" width="9.140625" style="2" customWidth="1"/>
    <col min="11999" max="11999" width="9.85546875" style="2" customWidth="1"/>
    <col min="12000" max="12000" width="9.42578125" style="2" customWidth="1"/>
    <col min="12001" max="12001" width="9.5703125" style="2" customWidth="1"/>
    <col min="12002" max="12002" width="9.28515625" style="2" customWidth="1"/>
    <col min="12003" max="12003" width="9.140625" style="2" customWidth="1"/>
    <col min="12004" max="12004" width="9.28515625" style="2" bestFit="1" customWidth="1"/>
    <col min="12005" max="12005" width="10.5703125" style="2" customWidth="1"/>
    <col min="12006" max="12006" width="7.7109375" style="2" customWidth="1"/>
    <col min="12007" max="12007" width="9.140625" style="2" customWidth="1"/>
    <col min="12008" max="12008" width="7.85546875" style="2" customWidth="1"/>
    <col min="12009" max="12009" width="8.7109375" style="2" customWidth="1"/>
    <col min="12010" max="12010" width="9.42578125" style="2" customWidth="1"/>
    <col min="12011" max="12011" width="10.28515625" style="2" customWidth="1"/>
    <col min="12012" max="12012" width="9.85546875" style="2" customWidth="1"/>
    <col min="12013" max="12013" width="10.140625" style="2" customWidth="1"/>
    <col min="12014" max="12015" width="8.140625" style="2" customWidth="1"/>
    <col min="12016" max="12017" width="7.85546875" style="2" customWidth="1"/>
    <col min="12018" max="12018" width="9.140625" style="2" customWidth="1"/>
    <col min="12019" max="12019" width="9.7109375" style="2" customWidth="1"/>
    <col min="12020" max="12020" width="8.28515625" style="2" customWidth="1"/>
    <col min="12021" max="12021" width="9.140625" style="2" customWidth="1"/>
    <col min="12022" max="12022" width="10" style="2" customWidth="1"/>
    <col min="12023" max="12023" width="10.28515625" style="2" customWidth="1"/>
    <col min="12024" max="12024" width="9.85546875" style="2" customWidth="1"/>
    <col min="12025" max="12025" width="9.42578125" style="2" customWidth="1"/>
    <col min="12026" max="12026" width="9.7109375" style="2" customWidth="1"/>
    <col min="12027" max="12027" width="9.42578125" style="2" customWidth="1"/>
    <col min="12028" max="12028" width="9.28515625" style="2" customWidth="1"/>
    <col min="12029" max="12029" width="10.5703125" style="2" customWidth="1"/>
    <col min="12030" max="12031" width="8.85546875" style="2" customWidth="1"/>
    <col min="12032" max="12032" width="8.28515625" style="2" customWidth="1"/>
    <col min="12033" max="12033" width="8.85546875" style="2" customWidth="1"/>
    <col min="12034" max="12034" width="9.5703125" style="2" customWidth="1"/>
    <col min="12035" max="12035" width="8.42578125" style="2" customWidth="1"/>
    <col min="12036" max="12036" width="9.5703125" style="2" customWidth="1"/>
    <col min="12037" max="12037" width="8.28515625" style="2" customWidth="1"/>
    <col min="12038" max="12038" width="9.28515625" style="2" customWidth="1"/>
    <col min="12039" max="12039" width="9.85546875" style="2" customWidth="1"/>
    <col min="12040" max="12040" width="10.28515625" style="2" customWidth="1"/>
    <col min="12041" max="12041" width="10.42578125" style="2" customWidth="1"/>
    <col min="12042" max="12042" width="9.5703125" style="2" customWidth="1"/>
    <col min="12043" max="12043" width="10.140625" style="2" customWidth="1"/>
    <col min="12044" max="12044" width="9.5703125" style="2" customWidth="1"/>
    <col min="12045" max="12045" width="10.28515625" style="2" customWidth="1"/>
    <col min="12046" max="12046" width="10" style="2" customWidth="1"/>
    <col min="12047" max="12047" width="9.140625" style="2" customWidth="1"/>
    <col min="12048" max="12048" width="10.5703125" style="2" customWidth="1"/>
    <col min="12049" max="12049" width="9.28515625" style="2" customWidth="1"/>
    <col min="12050" max="12051" width="9.42578125" style="2" customWidth="1"/>
    <col min="12052" max="12052" width="9" style="2" customWidth="1"/>
    <col min="12053" max="12053" width="11" style="2" customWidth="1"/>
    <col min="12054" max="12054" width="9.28515625" style="2" customWidth="1"/>
    <col min="12055" max="12055" width="9.7109375" style="2" customWidth="1"/>
    <col min="12056" max="12056" width="10.85546875" style="2" customWidth="1"/>
    <col min="12057" max="12057" width="10.5703125" style="2" customWidth="1"/>
    <col min="12058" max="12058" width="10.28515625" style="2" customWidth="1"/>
    <col min="12059" max="12059" width="9.85546875" style="2" customWidth="1"/>
    <col min="12060" max="12060" width="10.28515625" style="2" customWidth="1"/>
    <col min="12061" max="12061" width="9" style="2" customWidth="1"/>
    <col min="12062" max="12062" width="9.85546875" style="2" customWidth="1"/>
    <col min="12063" max="12063" width="9.42578125" style="2" customWidth="1"/>
    <col min="12064" max="12064" width="9.140625" style="2" customWidth="1"/>
    <col min="12065" max="12065" width="11" style="2" customWidth="1"/>
    <col min="12066" max="12066" width="9.28515625" style="2" customWidth="1"/>
    <col min="12067" max="12067" width="9.5703125" style="2" customWidth="1"/>
    <col min="12068" max="12068" width="10.42578125" style="2" customWidth="1"/>
    <col min="12069" max="12069" width="9" style="2" customWidth="1"/>
    <col min="12070" max="12070" width="9.7109375" style="2" customWidth="1"/>
    <col min="12071" max="12071" width="10" style="2" customWidth="1"/>
    <col min="12072" max="12072" width="10.7109375" style="2" customWidth="1"/>
    <col min="12073" max="12073" width="9.42578125" style="2" customWidth="1"/>
    <col min="12074" max="12074" width="10.28515625" style="2" customWidth="1"/>
    <col min="12075" max="12075" width="9.5703125" style="2" customWidth="1"/>
    <col min="12076" max="12076" width="10" style="2" customWidth="1"/>
    <col min="12077" max="12077" width="9" style="2" customWidth="1"/>
    <col min="12078" max="12078" width="10.5703125" style="2" customWidth="1"/>
    <col min="12079" max="12079" width="11.28515625" style="2" customWidth="1"/>
    <col min="12080" max="12080" width="10.5703125" style="2" customWidth="1"/>
    <col min="12081" max="12081" width="9.7109375" style="2" customWidth="1"/>
    <col min="12082" max="12082" width="9.5703125" style="2" customWidth="1"/>
    <col min="12083" max="12083" width="10.5703125" style="2" customWidth="1"/>
    <col min="12084" max="12084" width="10.42578125" style="2" customWidth="1"/>
    <col min="12085" max="12085" width="9.85546875" style="2" customWidth="1"/>
    <col min="12086" max="12086" width="10.5703125" style="2" bestFit="1" customWidth="1"/>
    <col min="12087" max="12089" width="10.140625" style="2" bestFit="1" customWidth="1"/>
    <col min="12090" max="12090" width="8.85546875" style="2" customWidth="1"/>
    <col min="12091" max="12091" width="9.140625" style="2" bestFit="1" customWidth="1"/>
    <col min="12092" max="12093" width="10.140625" style="2" customWidth="1"/>
    <col min="12094" max="12094" width="10" style="2" customWidth="1"/>
    <col min="12095" max="12095" width="8.28515625" style="2" customWidth="1"/>
    <col min="12096" max="12096" width="9" style="2" customWidth="1"/>
    <col min="12097" max="12097" width="10.5703125" style="2" customWidth="1"/>
    <col min="12098" max="12098" width="10.140625" style="2" customWidth="1"/>
    <col min="12099" max="12099" width="9.7109375" style="2" customWidth="1"/>
    <col min="12100" max="12100" width="9.140625" style="2" customWidth="1"/>
    <col min="12101" max="12101" width="10.140625" style="2" customWidth="1"/>
    <col min="12102" max="12102" width="9" style="2" customWidth="1"/>
    <col min="12103" max="12103" width="9.28515625" style="2" customWidth="1"/>
    <col min="12104" max="12104" width="11" style="2" customWidth="1"/>
    <col min="12105" max="12105" width="10.140625" style="2" customWidth="1"/>
    <col min="12106" max="12106" width="10.7109375" style="2" customWidth="1"/>
    <col min="12107" max="12107" width="9.85546875" style="2" customWidth="1"/>
    <col min="12108" max="12108" width="11" style="2" customWidth="1"/>
    <col min="12109" max="12109" width="10" style="2" customWidth="1"/>
    <col min="12110" max="12110" width="9.140625" style="2" customWidth="1"/>
    <col min="12111" max="12111" width="10.28515625" style="2" customWidth="1"/>
    <col min="12112" max="12112" width="10.5703125" style="2" customWidth="1"/>
    <col min="12113" max="12113" width="9.85546875" style="2" customWidth="1"/>
    <col min="12114" max="12114" width="10.7109375" style="2" customWidth="1"/>
    <col min="12115" max="12115" width="9.42578125" style="2" customWidth="1"/>
    <col min="12116" max="12116" width="10.42578125" style="2" customWidth="1"/>
    <col min="12117" max="12117" width="9.85546875" style="2" customWidth="1"/>
    <col min="12118" max="12118" width="10.7109375" style="2" customWidth="1"/>
    <col min="12119" max="12119" width="10.140625" style="2" customWidth="1"/>
    <col min="12120" max="12120" width="10.28515625" style="2" customWidth="1"/>
    <col min="12121" max="12121" width="9" style="2" customWidth="1"/>
    <col min="12122" max="12122" width="11.140625" style="2" customWidth="1"/>
    <col min="12123" max="12123" width="10.28515625" style="2" customWidth="1"/>
    <col min="12124" max="12124" width="9.42578125" style="2" customWidth="1"/>
    <col min="12125" max="12125" width="10.42578125" style="2" customWidth="1"/>
    <col min="12126" max="12126" width="9.42578125" style="2" customWidth="1"/>
    <col min="12127" max="12127" width="9" style="2" customWidth="1"/>
    <col min="12128" max="12128" width="10.28515625" style="2" customWidth="1"/>
    <col min="12129" max="12129" width="8.42578125" style="2" customWidth="1"/>
    <col min="12130" max="12130" width="9.7109375" style="2" customWidth="1"/>
    <col min="12131" max="12131" width="8.7109375" style="2" customWidth="1"/>
    <col min="12132" max="12132" width="9.42578125" style="2" customWidth="1"/>
    <col min="12133" max="12133" width="10.85546875" style="2" customWidth="1"/>
    <col min="12134" max="12134" width="9.7109375" style="2" customWidth="1"/>
    <col min="12135" max="12135" width="11.42578125" style="2" customWidth="1"/>
    <col min="12136" max="12136" width="11" style="2" customWidth="1"/>
    <col min="12137" max="12137" width="9.42578125" style="2" customWidth="1"/>
    <col min="12138" max="12138" width="10.28515625" style="2" customWidth="1"/>
    <col min="12139" max="12139" width="10.42578125" style="2" customWidth="1"/>
    <col min="12140" max="12140" width="10.28515625" style="2" customWidth="1"/>
    <col min="12141" max="12142" width="9.140625" style="2" bestFit="1" customWidth="1"/>
    <col min="12143" max="12143" width="10" style="2" customWidth="1"/>
    <col min="12144" max="12144" width="9.140625" style="2" customWidth="1"/>
    <col min="12145" max="12145" width="9.85546875" style="2" customWidth="1"/>
    <col min="12146" max="12146" width="9.5703125" style="2" customWidth="1"/>
    <col min="12147" max="12147" width="10.85546875" style="2" customWidth="1"/>
    <col min="12148" max="12148" width="10.5703125" style="2" customWidth="1"/>
    <col min="12149" max="12149" width="10.28515625" style="2" customWidth="1"/>
    <col min="12150" max="12150" width="9.5703125" style="2" customWidth="1"/>
    <col min="12151" max="12151" width="9.28515625" style="2" customWidth="1"/>
    <col min="12152" max="12152" width="10.28515625" style="2" customWidth="1"/>
    <col min="12153" max="12153" width="10" style="2" customWidth="1"/>
    <col min="12154" max="12154" width="9" style="2" customWidth="1"/>
    <col min="12155" max="12155" width="10.42578125" style="2" customWidth="1"/>
    <col min="12156" max="12157" width="9.85546875" style="2" customWidth="1"/>
    <col min="12158" max="12158" width="10" style="2" customWidth="1"/>
    <col min="12159" max="12159" width="8.28515625" style="2" customWidth="1"/>
    <col min="12160" max="12160" width="9.85546875" style="2" customWidth="1"/>
    <col min="12161" max="12161" width="11.5703125" style="2" customWidth="1"/>
    <col min="12162" max="12162" width="9.140625" style="2" bestFit="1" customWidth="1"/>
    <col min="12163" max="12163" width="10" style="2" customWidth="1"/>
    <col min="12164" max="12164" width="8" style="2" customWidth="1"/>
    <col min="12165" max="12165" width="11.28515625" style="2" customWidth="1"/>
    <col min="12166" max="12168" width="10.140625" style="2" bestFit="1" customWidth="1"/>
    <col min="12169" max="12169" width="12.28515625" style="2" customWidth="1"/>
    <col min="12170" max="12171" width="5.7109375" style="2"/>
    <col min="12172" max="12172" width="10.28515625" style="2" bestFit="1" customWidth="1"/>
    <col min="12173" max="12178" width="5.7109375" style="2"/>
    <col min="12179" max="12179" width="22" style="2" customWidth="1"/>
    <col min="12180" max="12180" width="16" style="2" customWidth="1"/>
    <col min="12181" max="12181" width="7.140625" style="2" bestFit="1" customWidth="1"/>
    <col min="12182" max="12182" width="9.28515625" style="2" bestFit="1" customWidth="1"/>
    <col min="12183" max="12243" width="5.7109375" style="2"/>
    <col min="12244" max="12244" width="29.42578125" style="2" customWidth="1"/>
    <col min="12245" max="12245" width="4.7109375" style="2" customWidth="1"/>
    <col min="12246" max="12247" width="9.7109375" style="2" customWidth="1"/>
    <col min="12248" max="12248" width="9.42578125" style="2" customWidth="1"/>
    <col min="12249" max="12249" width="9.140625" style="2" customWidth="1"/>
    <col min="12250" max="12250" width="8.85546875" style="2" customWidth="1"/>
    <col min="12251" max="12251" width="9.7109375" style="2" customWidth="1"/>
    <col min="12252" max="12252" width="8.140625" style="2" customWidth="1"/>
    <col min="12253" max="12253" width="10.42578125" style="2" customWidth="1"/>
    <col min="12254" max="12254" width="9.140625" style="2" customWidth="1"/>
    <col min="12255" max="12255" width="9.85546875" style="2" customWidth="1"/>
    <col min="12256" max="12256" width="9.42578125" style="2" customWidth="1"/>
    <col min="12257" max="12257" width="9.5703125" style="2" customWidth="1"/>
    <col min="12258" max="12258" width="9.28515625" style="2" customWidth="1"/>
    <col min="12259" max="12259" width="9.140625" style="2" customWidth="1"/>
    <col min="12260" max="12260" width="9.28515625" style="2" bestFit="1" customWidth="1"/>
    <col min="12261" max="12261" width="10.5703125" style="2" customWidth="1"/>
    <col min="12262" max="12262" width="7.7109375" style="2" customWidth="1"/>
    <col min="12263" max="12263" width="9.140625" style="2" customWidth="1"/>
    <col min="12264" max="12264" width="7.85546875" style="2" customWidth="1"/>
    <col min="12265" max="12265" width="8.7109375" style="2" customWidth="1"/>
    <col min="12266" max="12266" width="9.42578125" style="2" customWidth="1"/>
    <col min="12267" max="12267" width="10.28515625" style="2" customWidth="1"/>
    <col min="12268" max="12268" width="9.85546875" style="2" customWidth="1"/>
    <col min="12269" max="12269" width="10.140625" style="2" customWidth="1"/>
    <col min="12270" max="12271" width="8.140625" style="2" customWidth="1"/>
    <col min="12272" max="12273" width="7.85546875" style="2" customWidth="1"/>
    <col min="12274" max="12274" width="9.140625" style="2" customWidth="1"/>
    <col min="12275" max="12275" width="9.7109375" style="2" customWidth="1"/>
    <col min="12276" max="12276" width="8.28515625" style="2" customWidth="1"/>
    <col min="12277" max="12277" width="9.140625" style="2" customWidth="1"/>
    <col min="12278" max="12278" width="10" style="2" customWidth="1"/>
    <col min="12279" max="12279" width="10.28515625" style="2" customWidth="1"/>
    <col min="12280" max="12280" width="9.85546875" style="2" customWidth="1"/>
    <col min="12281" max="12281" width="9.42578125" style="2" customWidth="1"/>
    <col min="12282" max="12282" width="9.7109375" style="2" customWidth="1"/>
    <col min="12283" max="12283" width="9.42578125" style="2" customWidth="1"/>
    <col min="12284" max="12284" width="9.28515625" style="2" customWidth="1"/>
    <col min="12285" max="12285" width="10.5703125" style="2" customWidth="1"/>
    <col min="12286" max="12287" width="8.85546875" style="2" customWidth="1"/>
    <col min="12288" max="12288" width="8.28515625" style="2" customWidth="1"/>
    <col min="12289" max="12289" width="8.85546875" style="2" customWidth="1"/>
    <col min="12290" max="12290" width="9.5703125" style="2" customWidth="1"/>
    <col min="12291" max="12291" width="8.42578125" style="2" customWidth="1"/>
    <col min="12292" max="12292" width="9.5703125" style="2" customWidth="1"/>
    <col min="12293" max="12293" width="8.28515625" style="2" customWidth="1"/>
    <col min="12294" max="12294" width="9.28515625" style="2" customWidth="1"/>
    <col min="12295" max="12295" width="9.85546875" style="2" customWidth="1"/>
    <col min="12296" max="12296" width="10.28515625" style="2" customWidth="1"/>
    <col min="12297" max="12297" width="10.42578125" style="2" customWidth="1"/>
    <col min="12298" max="12298" width="9.5703125" style="2" customWidth="1"/>
    <col min="12299" max="12299" width="10.140625" style="2" customWidth="1"/>
    <col min="12300" max="12300" width="9.5703125" style="2" customWidth="1"/>
    <col min="12301" max="12301" width="10.28515625" style="2" customWidth="1"/>
    <col min="12302" max="12302" width="10" style="2" customWidth="1"/>
    <col min="12303" max="12303" width="9.140625" style="2" customWidth="1"/>
    <col min="12304" max="12304" width="10.5703125" style="2" customWidth="1"/>
    <col min="12305" max="12305" width="9.28515625" style="2" customWidth="1"/>
    <col min="12306" max="12307" width="9.42578125" style="2" customWidth="1"/>
    <col min="12308" max="12308" width="9" style="2" customWidth="1"/>
    <col min="12309" max="12309" width="11" style="2" customWidth="1"/>
    <col min="12310" max="12310" width="9.28515625" style="2" customWidth="1"/>
    <col min="12311" max="12311" width="9.7109375" style="2" customWidth="1"/>
    <col min="12312" max="12312" width="10.85546875" style="2" customWidth="1"/>
    <col min="12313" max="12313" width="10.5703125" style="2" customWidth="1"/>
    <col min="12314" max="12314" width="10.28515625" style="2" customWidth="1"/>
    <col min="12315" max="12315" width="9.85546875" style="2" customWidth="1"/>
    <col min="12316" max="12316" width="10.28515625" style="2" customWidth="1"/>
    <col min="12317" max="12317" width="9" style="2" customWidth="1"/>
    <col min="12318" max="12318" width="9.85546875" style="2" customWidth="1"/>
    <col min="12319" max="12319" width="9.42578125" style="2" customWidth="1"/>
    <col min="12320" max="12320" width="9.140625" style="2" customWidth="1"/>
    <col min="12321" max="12321" width="11" style="2" customWidth="1"/>
    <col min="12322" max="12322" width="9.28515625" style="2" customWidth="1"/>
    <col min="12323" max="12323" width="9.5703125" style="2" customWidth="1"/>
    <col min="12324" max="12324" width="10.42578125" style="2" customWidth="1"/>
    <col min="12325" max="12325" width="9" style="2" customWidth="1"/>
    <col min="12326" max="12326" width="9.7109375" style="2" customWidth="1"/>
    <col min="12327" max="12327" width="10" style="2" customWidth="1"/>
    <col min="12328" max="12328" width="10.7109375" style="2" customWidth="1"/>
    <col min="12329" max="12329" width="9.42578125" style="2" customWidth="1"/>
    <col min="12330" max="12330" width="10.28515625" style="2" customWidth="1"/>
    <col min="12331" max="12331" width="9.5703125" style="2" customWidth="1"/>
    <col min="12332" max="12332" width="10" style="2" customWidth="1"/>
    <col min="12333" max="12333" width="9" style="2" customWidth="1"/>
    <col min="12334" max="12334" width="10.5703125" style="2" customWidth="1"/>
    <col min="12335" max="12335" width="11.28515625" style="2" customWidth="1"/>
    <col min="12336" max="12336" width="10.5703125" style="2" customWidth="1"/>
    <col min="12337" max="12337" width="9.7109375" style="2" customWidth="1"/>
    <col min="12338" max="12338" width="9.5703125" style="2" customWidth="1"/>
    <col min="12339" max="12339" width="10.5703125" style="2" customWidth="1"/>
    <col min="12340" max="12340" width="10.42578125" style="2" customWidth="1"/>
    <col min="12341" max="12341" width="9.85546875" style="2" customWidth="1"/>
    <col min="12342" max="12342" width="10.5703125" style="2" bestFit="1" customWidth="1"/>
    <col min="12343" max="12345" width="10.140625" style="2" bestFit="1" customWidth="1"/>
    <col min="12346" max="12346" width="8.85546875" style="2" customWidth="1"/>
    <col min="12347" max="12347" width="9.140625" style="2" bestFit="1" customWidth="1"/>
    <col min="12348" max="12349" width="10.140625" style="2" customWidth="1"/>
    <col min="12350" max="12350" width="10" style="2" customWidth="1"/>
    <col min="12351" max="12351" width="8.28515625" style="2" customWidth="1"/>
    <col min="12352" max="12352" width="9" style="2" customWidth="1"/>
    <col min="12353" max="12353" width="10.5703125" style="2" customWidth="1"/>
    <col min="12354" max="12354" width="10.140625" style="2" customWidth="1"/>
    <col min="12355" max="12355" width="9.7109375" style="2" customWidth="1"/>
    <col min="12356" max="12356" width="9.140625" style="2" customWidth="1"/>
    <col min="12357" max="12357" width="10.140625" style="2" customWidth="1"/>
    <col min="12358" max="12358" width="9" style="2" customWidth="1"/>
    <col min="12359" max="12359" width="9.28515625" style="2" customWidth="1"/>
    <col min="12360" max="12360" width="11" style="2" customWidth="1"/>
    <col min="12361" max="12361" width="10.140625" style="2" customWidth="1"/>
    <col min="12362" max="12362" width="10.7109375" style="2" customWidth="1"/>
    <col min="12363" max="12363" width="9.85546875" style="2" customWidth="1"/>
    <col min="12364" max="12364" width="11" style="2" customWidth="1"/>
    <col min="12365" max="12365" width="10" style="2" customWidth="1"/>
    <col min="12366" max="12366" width="9.140625" style="2" customWidth="1"/>
    <col min="12367" max="12367" width="10.28515625" style="2" customWidth="1"/>
    <col min="12368" max="12368" width="10.5703125" style="2" customWidth="1"/>
    <col min="12369" max="12369" width="9.85546875" style="2" customWidth="1"/>
    <col min="12370" max="12370" width="10.7109375" style="2" customWidth="1"/>
    <col min="12371" max="12371" width="9.42578125" style="2" customWidth="1"/>
    <col min="12372" max="12372" width="10.42578125" style="2" customWidth="1"/>
    <col min="12373" max="12373" width="9.85546875" style="2" customWidth="1"/>
    <col min="12374" max="12374" width="10.7109375" style="2" customWidth="1"/>
    <col min="12375" max="12375" width="10.140625" style="2" customWidth="1"/>
    <col min="12376" max="12376" width="10.28515625" style="2" customWidth="1"/>
    <col min="12377" max="12377" width="9" style="2" customWidth="1"/>
    <col min="12378" max="12378" width="11.140625" style="2" customWidth="1"/>
    <col min="12379" max="12379" width="10.28515625" style="2" customWidth="1"/>
    <col min="12380" max="12380" width="9.42578125" style="2" customWidth="1"/>
    <col min="12381" max="12381" width="10.42578125" style="2" customWidth="1"/>
    <col min="12382" max="12382" width="9.42578125" style="2" customWidth="1"/>
    <col min="12383" max="12383" width="9" style="2" customWidth="1"/>
    <col min="12384" max="12384" width="10.28515625" style="2" customWidth="1"/>
    <col min="12385" max="12385" width="8.42578125" style="2" customWidth="1"/>
    <col min="12386" max="12386" width="9.7109375" style="2" customWidth="1"/>
    <col min="12387" max="12387" width="8.7109375" style="2" customWidth="1"/>
    <col min="12388" max="12388" width="9.42578125" style="2" customWidth="1"/>
    <col min="12389" max="12389" width="10.85546875" style="2" customWidth="1"/>
    <col min="12390" max="12390" width="9.7109375" style="2" customWidth="1"/>
    <col min="12391" max="12391" width="11.42578125" style="2" customWidth="1"/>
    <col min="12392" max="12392" width="11" style="2" customWidth="1"/>
    <col min="12393" max="12393" width="9.42578125" style="2" customWidth="1"/>
    <col min="12394" max="12394" width="10.28515625" style="2" customWidth="1"/>
    <col min="12395" max="12395" width="10.42578125" style="2" customWidth="1"/>
    <col min="12396" max="12396" width="10.28515625" style="2" customWidth="1"/>
    <col min="12397" max="12398" width="9.140625" style="2" bestFit="1" customWidth="1"/>
    <col min="12399" max="12399" width="10" style="2" customWidth="1"/>
    <col min="12400" max="12400" width="9.140625" style="2" customWidth="1"/>
    <col min="12401" max="12401" width="9.85546875" style="2" customWidth="1"/>
    <col min="12402" max="12402" width="9.5703125" style="2" customWidth="1"/>
    <col min="12403" max="12403" width="10.85546875" style="2" customWidth="1"/>
    <col min="12404" max="12404" width="10.5703125" style="2" customWidth="1"/>
    <col min="12405" max="12405" width="10.28515625" style="2" customWidth="1"/>
    <col min="12406" max="12406" width="9.5703125" style="2" customWidth="1"/>
    <col min="12407" max="12407" width="9.28515625" style="2" customWidth="1"/>
    <col min="12408" max="12408" width="10.28515625" style="2" customWidth="1"/>
    <col min="12409" max="12409" width="10" style="2" customWidth="1"/>
    <col min="12410" max="12410" width="9" style="2" customWidth="1"/>
    <col min="12411" max="12411" width="10.42578125" style="2" customWidth="1"/>
    <col min="12412" max="12413" width="9.85546875" style="2" customWidth="1"/>
    <col min="12414" max="12414" width="10" style="2" customWidth="1"/>
    <col min="12415" max="12415" width="8.28515625" style="2" customWidth="1"/>
    <col min="12416" max="12416" width="9.85546875" style="2" customWidth="1"/>
    <col min="12417" max="12417" width="11.5703125" style="2" customWidth="1"/>
    <col min="12418" max="12418" width="9.140625" style="2" bestFit="1" customWidth="1"/>
    <col min="12419" max="12419" width="10" style="2" customWidth="1"/>
    <col min="12420" max="12420" width="8" style="2" customWidth="1"/>
    <col min="12421" max="12421" width="11.28515625" style="2" customWidth="1"/>
    <col min="12422" max="12424" width="10.140625" style="2" bestFit="1" customWidth="1"/>
    <col min="12425" max="12425" width="12.28515625" style="2" customWidth="1"/>
    <col min="12426" max="12427" width="5.7109375" style="2"/>
    <col min="12428" max="12428" width="10.28515625" style="2" bestFit="1" customWidth="1"/>
    <col min="12429" max="12434" width="5.7109375" style="2"/>
    <col min="12435" max="12435" width="22" style="2" customWidth="1"/>
    <col min="12436" max="12436" width="16" style="2" customWidth="1"/>
    <col min="12437" max="12437" width="7.140625" style="2" bestFit="1" customWidth="1"/>
    <col min="12438" max="12438" width="9.28515625" style="2" bestFit="1" customWidth="1"/>
    <col min="12439" max="12499" width="5.7109375" style="2"/>
    <col min="12500" max="12500" width="29.42578125" style="2" customWidth="1"/>
    <col min="12501" max="12501" width="4.7109375" style="2" customWidth="1"/>
    <col min="12502" max="12503" width="9.7109375" style="2" customWidth="1"/>
    <col min="12504" max="12504" width="9.42578125" style="2" customWidth="1"/>
    <col min="12505" max="12505" width="9.140625" style="2" customWidth="1"/>
    <col min="12506" max="12506" width="8.85546875" style="2" customWidth="1"/>
    <col min="12507" max="12507" width="9.7109375" style="2" customWidth="1"/>
    <col min="12508" max="12508" width="8.140625" style="2" customWidth="1"/>
    <col min="12509" max="12509" width="10.42578125" style="2" customWidth="1"/>
    <col min="12510" max="12510" width="9.140625" style="2" customWidth="1"/>
    <col min="12511" max="12511" width="9.85546875" style="2" customWidth="1"/>
    <col min="12512" max="12512" width="9.42578125" style="2" customWidth="1"/>
    <col min="12513" max="12513" width="9.5703125" style="2" customWidth="1"/>
    <col min="12514" max="12514" width="9.28515625" style="2" customWidth="1"/>
    <col min="12515" max="12515" width="9.140625" style="2" customWidth="1"/>
    <col min="12516" max="12516" width="9.28515625" style="2" bestFit="1" customWidth="1"/>
    <col min="12517" max="12517" width="10.5703125" style="2" customWidth="1"/>
    <col min="12518" max="12518" width="7.7109375" style="2" customWidth="1"/>
    <col min="12519" max="12519" width="9.140625" style="2" customWidth="1"/>
    <col min="12520" max="12520" width="7.85546875" style="2" customWidth="1"/>
    <col min="12521" max="12521" width="8.7109375" style="2" customWidth="1"/>
    <col min="12522" max="12522" width="9.42578125" style="2" customWidth="1"/>
    <col min="12523" max="12523" width="10.28515625" style="2" customWidth="1"/>
    <col min="12524" max="12524" width="9.85546875" style="2" customWidth="1"/>
    <col min="12525" max="12525" width="10.140625" style="2" customWidth="1"/>
    <col min="12526" max="12527" width="8.140625" style="2" customWidth="1"/>
    <col min="12528" max="12529" width="7.85546875" style="2" customWidth="1"/>
    <col min="12530" max="12530" width="9.140625" style="2" customWidth="1"/>
    <col min="12531" max="12531" width="9.7109375" style="2" customWidth="1"/>
    <col min="12532" max="12532" width="8.28515625" style="2" customWidth="1"/>
    <col min="12533" max="12533" width="9.140625" style="2" customWidth="1"/>
    <col min="12534" max="12534" width="10" style="2" customWidth="1"/>
    <col min="12535" max="12535" width="10.28515625" style="2" customWidth="1"/>
    <col min="12536" max="12536" width="9.85546875" style="2" customWidth="1"/>
    <col min="12537" max="12537" width="9.42578125" style="2" customWidth="1"/>
    <col min="12538" max="12538" width="9.7109375" style="2" customWidth="1"/>
    <col min="12539" max="12539" width="9.42578125" style="2" customWidth="1"/>
    <col min="12540" max="12540" width="9.28515625" style="2" customWidth="1"/>
    <col min="12541" max="12541" width="10.5703125" style="2" customWidth="1"/>
    <col min="12542" max="12543" width="8.85546875" style="2" customWidth="1"/>
    <col min="12544" max="12544" width="8.28515625" style="2" customWidth="1"/>
    <col min="12545" max="12545" width="8.85546875" style="2" customWidth="1"/>
    <col min="12546" max="12546" width="9.5703125" style="2" customWidth="1"/>
    <col min="12547" max="12547" width="8.42578125" style="2" customWidth="1"/>
    <col min="12548" max="12548" width="9.5703125" style="2" customWidth="1"/>
    <col min="12549" max="12549" width="8.28515625" style="2" customWidth="1"/>
    <col min="12550" max="12550" width="9.28515625" style="2" customWidth="1"/>
    <col min="12551" max="12551" width="9.85546875" style="2" customWidth="1"/>
    <col min="12552" max="12552" width="10.28515625" style="2" customWidth="1"/>
    <col min="12553" max="12553" width="10.42578125" style="2" customWidth="1"/>
    <col min="12554" max="12554" width="9.5703125" style="2" customWidth="1"/>
    <col min="12555" max="12555" width="10.140625" style="2" customWidth="1"/>
    <col min="12556" max="12556" width="9.5703125" style="2" customWidth="1"/>
    <col min="12557" max="12557" width="10.28515625" style="2" customWidth="1"/>
    <col min="12558" max="12558" width="10" style="2" customWidth="1"/>
    <col min="12559" max="12559" width="9.140625" style="2" customWidth="1"/>
    <col min="12560" max="12560" width="10.5703125" style="2" customWidth="1"/>
    <col min="12561" max="12561" width="9.28515625" style="2" customWidth="1"/>
    <col min="12562" max="12563" width="9.42578125" style="2" customWidth="1"/>
    <col min="12564" max="12564" width="9" style="2" customWidth="1"/>
    <col min="12565" max="12565" width="11" style="2" customWidth="1"/>
    <col min="12566" max="12566" width="9.28515625" style="2" customWidth="1"/>
    <col min="12567" max="12567" width="9.7109375" style="2" customWidth="1"/>
    <col min="12568" max="12568" width="10.85546875" style="2" customWidth="1"/>
    <col min="12569" max="12569" width="10.5703125" style="2" customWidth="1"/>
    <col min="12570" max="12570" width="10.28515625" style="2" customWidth="1"/>
    <col min="12571" max="12571" width="9.85546875" style="2" customWidth="1"/>
    <col min="12572" max="12572" width="10.28515625" style="2" customWidth="1"/>
    <col min="12573" max="12573" width="9" style="2" customWidth="1"/>
    <col min="12574" max="12574" width="9.85546875" style="2" customWidth="1"/>
    <col min="12575" max="12575" width="9.42578125" style="2" customWidth="1"/>
    <col min="12576" max="12576" width="9.140625" style="2" customWidth="1"/>
    <col min="12577" max="12577" width="11" style="2" customWidth="1"/>
    <col min="12578" max="12578" width="9.28515625" style="2" customWidth="1"/>
    <col min="12579" max="12579" width="9.5703125" style="2" customWidth="1"/>
    <col min="12580" max="12580" width="10.42578125" style="2" customWidth="1"/>
    <col min="12581" max="12581" width="9" style="2" customWidth="1"/>
    <col min="12582" max="12582" width="9.7109375" style="2" customWidth="1"/>
    <col min="12583" max="12583" width="10" style="2" customWidth="1"/>
    <col min="12584" max="12584" width="10.7109375" style="2" customWidth="1"/>
    <col min="12585" max="12585" width="9.42578125" style="2" customWidth="1"/>
    <col min="12586" max="12586" width="10.28515625" style="2" customWidth="1"/>
    <col min="12587" max="12587" width="9.5703125" style="2" customWidth="1"/>
    <col min="12588" max="12588" width="10" style="2" customWidth="1"/>
    <col min="12589" max="12589" width="9" style="2" customWidth="1"/>
    <col min="12590" max="12590" width="10.5703125" style="2" customWidth="1"/>
    <col min="12591" max="12591" width="11.28515625" style="2" customWidth="1"/>
    <col min="12592" max="12592" width="10.5703125" style="2" customWidth="1"/>
    <col min="12593" max="12593" width="9.7109375" style="2" customWidth="1"/>
    <col min="12594" max="12594" width="9.5703125" style="2" customWidth="1"/>
    <col min="12595" max="12595" width="10.5703125" style="2" customWidth="1"/>
    <col min="12596" max="12596" width="10.42578125" style="2" customWidth="1"/>
    <col min="12597" max="12597" width="9.85546875" style="2" customWidth="1"/>
    <col min="12598" max="12598" width="10.5703125" style="2" bestFit="1" customWidth="1"/>
    <col min="12599" max="12601" width="10.140625" style="2" bestFit="1" customWidth="1"/>
    <col min="12602" max="12602" width="8.85546875" style="2" customWidth="1"/>
    <col min="12603" max="12603" width="9.140625" style="2" bestFit="1" customWidth="1"/>
    <col min="12604" max="12605" width="10.140625" style="2" customWidth="1"/>
    <col min="12606" max="12606" width="10" style="2" customWidth="1"/>
    <col min="12607" max="12607" width="8.28515625" style="2" customWidth="1"/>
    <col min="12608" max="12608" width="9" style="2" customWidth="1"/>
    <col min="12609" max="12609" width="10.5703125" style="2" customWidth="1"/>
    <col min="12610" max="12610" width="10.140625" style="2" customWidth="1"/>
    <col min="12611" max="12611" width="9.7109375" style="2" customWidth="1"/>
    <col min="12612" max="12612" width="9.140625" style="2" customWidth="1"/>
    <col min="12613" max="12613" width="10.140625" style="2" customWidth="1"/>
    <col min="12614" max="12614" width="9" style="2" customWidth="1"/>
    <col min="12615" max="12615" width="9.28515625" style="2" customWidth="1"/>
    <col min="12616" max="12616" width="11" style="2" customWidth="1"/>
    <col min="12617" max="12617" width="10.140625" style="2" customWidth="1"/>
    <col min="12618" max="12618" width="10.7109375" style="2" customWidth="1"/>
    <col min="12619" max="12619" width="9.85546875" style="2" customWidth="1"/>
    <col min="12620" max="12620" width="11" style="2" customWidth="1"/>
    <col min="12621" max="12621" width="10" style="2" customWidth="1"/>
    <col min="12622" max="12622" width="9.140625" style="2" customWidth="1"/>
    <col min="12623" max="12623" width="10.28515625" style="2" customWidth="1"/>
    <col min="12624" max="12624" width="10.5703125" style="2" customWidth="1"/>
    <col min="12625" max="12625" width="9.85546875" style="2" customWidth="1"/>
    <col min="12626" max="12626" width="10.7109375" style="2" customWidth="1"/>
    <col min="12627" max="12627" width="9.42578125" style="2" customWidth="1"/>
    <col min="12628" max="12628" width="10.42578125" style="2" customWidth="1"/>
    <col min="12629" max="12629" width="9.85546875" style="2" customWidth="1"/>
    <col min="12630" max="12630" width="10.7109375" style="2" customWidth="1"/>
    <col min="12631" max="12631" width="10.140625" style="2" customWidth="1"/>
    <col min="12632" max="12632" width="10.28515625" style="2" customWidth="1"/>
    <col min="12633" max="12633" width="9" style="2" customWidth="1"/>
    <col min="12634" max="12634" width="11.140625" style="2" customWidth="1"/>
    <col min="12635" max="12635" width="10.28515625" style="2" customWidth="1"/>
    <col min="12636" max="12636" width="9.42578125" style="2" customWidth="1"/>
    <col min="12637" max="12637" width="10.42578125" style="2" customWidth="1"/>
    <col min="12638" max="12638" width="9.42578125" style="2" customWidth="1"/>
    <col min="12639" max="12639" width="9" style="2" customWidth="1"/>
    <col min="12640" max="12640" width="10.28515625" style="2" customWidth="1"/>
    <col min="12641" max="12641" width="8.42578125" style="2" customWidth="1"/>
    <col min="12642" max="12642" width="9.7109375" style="2" customWidth="1"/>
    <col min="12643" max="12643" width="8.7109375" style="2" customWidth="1"/>
    <col min="12644" max="12644" width="9.42578125" style="2" customWidth="1"/>
    <col min="12645" max="12645" width="10.85546875" style="2" customWidth="1"/>
    <col min="12646" max="12646" width="9.7109375" style="2" customWidth="1"/>
    <col min="12647" max="12647" width="11.42578125" style="2" customWidth="1"/>
    <col min="12648" max="12648" width="11" style="2" customWidth="1"/>
    <col min="12649" max="12649" width="9.42578125" style="2" customWidth="1"/>
    <col min="12650" max="12650" width="10.28515625" style="2" customWidth="1"/>
    <col min="12651" max="12651" width="10.42578125" style="2" customWidth="1"/>
    <col min="12652" max="12652" width="10.28515625" style="2" customWidth="1"/>
    <col min="12653" max="12654" width="9.140625" style="2" bestFit="1" customWidth="1"/>
    <col min="12655" max="12655" width="10" style="2" customWidth="1"/>
    <col min="12656" max="12656" width="9.140625" style="2" customWidth="1"/>
    <col min="12657" max="12657" width="9.85546875" style="2" customWidth="1"/>
    <col min="12658" max="12658" width="9.5703125" style="2" customWidth="1"/>
    <col min="12659" max="12659" width="10.85546875" style="2" customWidth="1"/>
    <col min="12660" max="12660" width="10.5703125" style="2" customWidth="1"/>
    <col min="12661" max="12661" width="10.28515625" style="2" customWidth="1"/>
    <col min="12662" max="12662" width="9.5703125" style="2" customWidth="1"/>
    <col min="12663" max="12663" width="9.28515625" style="2" customWidth="1"/>
    <col min="12664" max="12664" width="10.28515625" style="2" customWidth="1"/>
    <col min="12665" max="12665" width="10" style="2" customWidth="1"/>
    <col min="12666" max="12666" width="9" style="2" customWidth="1"/>
    <col min="12667" max="12667" width="10.42578125" style="2" customWidth="1"/>
    <col min="12668" max="12669" width="9.85546875" style="2" customWidth="1"/>
    <col min="12670" max="12670" width="10" style="2" customWidth="1"/>
    <col min="12671" max="12671" width="8.28515625" style="2" customWidth="1"/>
    <col min="12672" max="12672" width="9.85546875" style="2" customWidth="1"/>
    <col min="12673" max="12673" width="11.5703125" style="2" customWidth="1"/>
    <col min="12674" max="12674" width="9.140625" style="2" bestFit="1" customWidth="1"/>
    <col min="12675" max="12675" width="10" style="2" customWidth="1"/>
    <col min="12676" max="12676" width="8" style="2" customWidth="1"/>
    <col min="12677" max="12677" width="11.28515625" style="2" customWidth="1"/>
    <col min="12678" max="12680" width="10.140625" style="2" bestFit="1" customWidth="1"/>
    <col min="12681" max="12681" width="12.28515625" style="2" customWidth="1"/>
    <col min="12682" max="12683" width="5.7109375" style="2"/>
    <col min="12684" max="12684" width="10.28515625" style="2" bestFit="1" customWidth="1"/>
    <col min="12685" max="12690" width="5.7109375" style="2"/>
    <col min="12691" max="12691" width="22" style="2" customWidth="1"/>
    <col min="12692" max="12692" width="16" style="2" customWidth="1"/>
    <col min="12693" max="12693" width="7.140625" style="2" bestFit="1" customWidth="1"/>
    <col min="12694" max="12694" width="9.28515625" style="2" bestFit="1" customWidth="1"/>
    <col min="12695" max="12755" width="5.7109375" style="2"/>
    <col min="12756" max="12756" width="29.42578125" style="2" customWidth="1"/>
    <col min="12757" max="12757" width="4.7109375" style="2" customWidth="1"/>
    <col min="12758" max="12759" width="9.7109375" style="2" customWidth="1"/>
    <col min="12760" max="12760" width="9.42578125" style="2" customWidth="1"/>
    <col min="12761" max="12761" width="9.140625" style="2" customWidth="1"/>
    <col min="12762" max="12762" width="8.85546875" style="2" customWidth="1"/>
    <col min="12763" max="12763" width="9.7109375" style="2" customWidth="1"/>
    <col min="12764" max="12764" width="8.140625" style="2" customWidth="1"/>
    <col min="12765" max="12765" width="10.42578125" style="2" customWidth="1"/>
    <col min="12766" max="12766" width="9.140625" style="2" customWidth="1"/>
    <col min="12767" max="12767" width="9.85546875" style="2" customWidth="1"/>
    <col min="12768" max="12768" width="9.42578125" style="2" customWidth="1"/>
    <col min="12769" max="12769" width="9.5703125" style="2" customWidth="1"/>
    <col min="12770" max="12770" width="9.28515625" style="2" customWidth="1"/>
    <col min="12771" max="12771" width="9.140625" style="2" customWidth="1"/>
    <col min="12772" max="12772" width="9.28515625" style="2" bestFit="1" customWidth="1"/>
    <col min="12773" max="12773" width="10.5703125" style="2" customWidth="1"/>
    <col min="12774" max="12774" width="7.7109375" style="2" customWidth="1"/>
    <col min="12775" max="12775" width="9.140625" style="2" customWidth="1"/>
    <col min="12776" max="12776" width="7.85546875" style="2" customWidth="1"/>
    <col min="12777" max="12777" width="8.7109375" style="2" customWidth="1"/>
    <col min="12778" max="12778" width="9.42578125" style="2" customWidth="1"/>
    <col min="12779" max="12779" width="10.28515625" style="2" customWidth="1"/>
    <col min="12780" max="12780" width="9.85546875" style="2" customWidth="1"/>
    <col min="12781" max="12781" width="10.140625" style="2" customWidth="1"/>
    <col min="12782" max="12783" width="8.140625" style="2" customWidth="1"/>
    <col min="12784" max="12785" width="7.85546875" style="2" customWidth="1"/>
    <col min="12786" max="12786" width="9.140625" style="2" customWidth="1"/>
    <col min="12787" max="12787" width="9.7109375" style="2" customWidth="1"/>
    <col min="12788" max="12788" width="8.28515625" style="2" customWidth="1"/>
    <col min="12789" max="12789" width="9.140625" style="2" customWidth="1"/>
    <col min="12790" max="12790" width="10" style="2" customWidth="1"/>
    <col min="12791" max="12791" width="10.28515625" style="2" customWidth="1"/>
    <col min="12792" max="12792" width="9.85546875" style="2" customWidth="1"/>
    <col min="12793" max="12793" width="9.42578125" style="2" customWidth="1"/>
    <col min="12794" max="12794" width="9.7109375" style="2" customWidth="1"/>
    <col min="12795" max="12795" width="9.42578125" style="2" customWidth="1"/>
    <col min="12796" max="12796" width="9.28515625" style="2" customWidth="1"/>
    <col min="12797" max="12797" width="10.5703125" style="2" customWidth="1"/>
    <col min="12798" max="12799" width="8.85546875" style="2" customWidth="1"/>
    <col min="12800" max="12800" width="8.28515625" style="2" customWidth="1"/>
    <col min="12801" max="12801" width="8.85546875" style="2" customWidth="1"/>
    <col min="12802" max="12802" width="9.5703125" style="2" customWidth="1"/>
    <col min="12803" max="12803" width="8.42578125" style="2" customWidth="1"/>
    <col min="12804" max="12804" width="9.5703125" style="2" customWidth="1"/>
    <col min="12805" max="12805" width="8.28515625" style="2" customWidth="1"/>
    <col min="12806" max="12806" width="9.28515625" style="2" customWidth="1"/>
    <col min="12807" max="12807" width="9.85546875" style="2" customWidth="1"/>
    <col min="12808" max="12808" width="10.28515625" style="2" customWidth="1"/>
    <col min="12809" max="12809" width="10.42578125" style="2" customWidth="1"/>
    <col min="12810" max="12810" width="9.5703125" style="2" customWidth="1"/>
    <col min="12811" max="12811" width="10.140625" style="2" customWidth="1"/>
    <col min="12812" max="12812" width="9.5703125" style="2" customWidth="1"/>
    <col min="12813" max="12813" width="10.28515625" style="2" customWidth="1"/>
    <col min="12814" max="12814" width="10" style="2" customWidth="1"/>
    <col min="12815" max="12815" width="9.140625" style="2" customWidth="1"/>
    <col min="12816" max="12816" width="10.5703125" style="2" customWidth="1"/>
    <col min="12817" max="12817" width="9.28515625" style="2" customWidth="1"/>
    <col min="12818" max="12819" width="9.42578125" style="2" customWidth="1"/>
    <col min="12820" max="12820" width="9" style="2" customWidth="1"/>
    <col min="12821" max="12821" width="11" style="2" customWidth="1"/>
    <col min="12822" max="12822" width="9.28515625" style="2" customWidth="1"/>
    <col min="12823" max="12823" width="9.7109375" style="2" customWidth="1"/>
    <col min="12824" max="12824" width="10.85546875" style="2" customWidth="1"/>
    <col min="12825" max="12825" width="10.5703125" style="2" customWidth="1"/>
    <col min="12826" max="12826" width="10.28515625" style="2" customWidth="1"/>
    <col min="12827" max="12827" width="9.85546875" style="2" customWidth="1"/>
    <col min="12828" max="12828" width="10.28515625" style="2" customWidth="1"/>
    <col min="12829" max="12829" width="9" style="2" customWidth="1"/>
    <col min="12830" max="12830" width="9.85546875" style="2" customWidth="1"/>
    <col min="12831" max="12831" width="9.42578125" style="2" customWidth="1"/>
    <col min="12832" max="12832" width="9.140625" style="2" customWidth="1"/>
    <col min="12833" max="12833" width="11" style="2" customWidth="1"/>
    <col min="12834" max="12834" width="9.28515625" style="2" customWidth="1"/>
    <col min="12835" max="12835" width="9.5703125" style="2" customWidth="1"/>
    <col min="12836" max="12836" width="10.42578125" style="2" customWidth="1"/>
    <col min="12837" max="12837" width="9" style="2" customWidth="1"/>
    <col min="12838" max="12838" width="9.7109375" style="2" customWidth="1"/>
    <col min="12839" max="12839" width="10" style="2" customWidth="1"/>
    <col min="12840" max="12840" width="10.7109375" style="2" customWidth="1"/>
    <col min="12841" max="12841" width="9.42578125" style="2" customWidth="1"/>
    <col min="12842" max="12842" width="10.28515625" style="2" customWidth="1"/>
    <col min="12843" max="12843" width="9.5703125" style="2" customWidth="1"/>
    <col min="12844" max="12844" width="10" style="2" customWidth="1"/>
    <col min="12845" max="12845" width="9" style="2" customWidth="1"/>
    <col min="12846" max="12846" width="10.5703125" style="2" customWidth="1"/>
    <col min="12847" max="12847" width="11.28515625" style="2" customWidth="1"/>
    <col min="12848" max="12848" width="10.5703125" style="2" customWidth="1"/>
    <col min="12849" max="12849" width="9.7109375" style="2" customWidth="1"/>
    <col min="12850" max="12850" width="9.5703125" style="2" customWidth="1"/>
    <col min="12851" max="12851" width="10.5703125" style="2" customWidth="1"/>
    <col min="12852" max="12852" width="10.42578125" style="2" customWidth="1"/>
    <col min="12853" max="12853" width="9.85546875" style="2" customWidth="1"/>
    <col min="12854" max="12854" width="10.5703125" style="2" bestFit="1" customWidth="1"/>
    <col min="12855" max="12857" width="10.140625" style="2" bestFit="1" customWidth="1"/>
    <col min="12858" max="12858" width="8.85546875" style="2" customWidth="1"/>
    <col min="12859" max="12859" width="9.140625" style="2" bestFit="1" customWidth="1"/>
    <col min="12860" max="12861" width="10.140625" style="2" customWidth="1"/>
    <col min="12862" max="12862" width="10" style="2" customWidth="1"/>
    <col min="12863" max="12863" width="8.28515625" style="2" customWidth="1"/>
    <col min="12864" max="12864" width="9" style="2" customWidth="1"/>
    <col min="12865" max="12865" width="10.5703125" style="2" customWidth="1"/>
    <col min="12866" max="12866" width="10.140625" style="2" customWidth="1"/>
    <col min="12867" max="12867" width="9.7109375" style="2" customWidth="1"/>
    <col min="12868" max="12868" width="9.140625" style="2" customWidth="1"/>
    <col min="12869" max="12869" width="10.140625" style="2" customWidth="1"/>
    <col min="12870" max="12870" width="9" style="2" customWidth="1"/>
    <col min="12871" max="12871" width="9.28515625" style="2" customWidth="1"/>
    <col min="12872" max="12872" width="11" style="2" customWidth="1"/>
    <col min="12873" max="12873" width="10.140625" style="2" customWidth="1"/>
    <col min="12874" max="12874" width="10.7109375" style="2" customWidth="1"/>
    <col min="12875" max="12875" width="9.85546875" style="2" customWidth="1"/>
    <col min="12876" max="12876" width="11" style="2" customWidth="1"/>
    <col min="12877" max="12877" width="10" style="2" customWidth="1"/>
    <col min="12878" max="12878" width="9.140625" style="2" customWidth="1"/>
    <col min="12879" max="12879" width="10.28515625" style="2" customWidth="1"/>
    <col min="12880" max="12880" width="10.5703125" style="2" customWidth="1"/>
    <col min="12881" max="12881" width="9.85546875" style="2" customWidth="1"/>
    <col min="12882" max="12882" width="10.7109375" style="2" customWidth="1"/>
    <col min="12883" max="12883" width="9.42578125" style="2" customWidth="1"/>
    <col min="12884" max="12884" width="10.42578125" style="2" customWidth="1"/>
    <col min="12885" max="12885" width="9.85546875" style="2" customWidth="1"/>
    <col min="12886" max="12886" width="10.7109375" style="2" customWidth="1"/>
    <col min="12887" max="12887" width="10.140625" style="2" customWidth="1"/>
    <col min="12888" max="12888" width="10.28515625" style="2" customWidth="1"/>
    <col min="12889" max="12889" width="9" style="2" customWidth="1"/>
    <col min="12890" max="12890" width="11.140625" style="2" customWidth="1"/>
    <col min="12891" max="12891" width="10.28515625" style="2" customWidth="1"/>
    <col min="12892" max="12892" width="9.42578125" style="2" customWidth="1"/>
    <col min="12893" max="12893" width="10.42578125" style="2" customWidth="1"/>
    <col min="12894" max="12894" width="9.42578125" style="2" customWidth="1"/>
    <col min="12895" max="12895" width="9" style="2" customWidth="1"/>
    <col min="12896" max="12896" width="10.28515625" style="2" customWidth="1"/>
    <col min="12897" max="12897" width="8.42578125" style="2" customWidth="1"/>
    <col min="12898" max="12898" width="9.7109375" style="2" customWidth="1"/>
    <col min="12899" max="12899" width="8.7109375" style="2" customWidth="1"/>
    <col min="12900" max="12900" width="9.42578125" style="2" customWidth="1"/>
    <col min="12901" max="12901" width="10.85546875" style="2" customWidth="1"/>
    <col min="12902" max="12902" width="9.7109375" style="2" customWidth="1"/>
    <col min="12903" max="12903" width="11.42578125" style="2" customWidth="1"/>
    <col min="12904" max="12904" width="11" style="2" customWidth="1"/>
    <col min="12905" max="12905" width="9.42578125" style="2" customWidth="1"/>
    <col min="12906" max="12906" width="10.28515625" style="2" customWidth="1"/>
    <col min="12907" max="12907" width="10.42578125" style="2" customWidth="1"/>
    <col min="12908" max="12908" width="10.28515625" style="2" customWidth="1"/>
    <col min="12909" max="12910" width="9.140625" style="2" bestFit="1" customWidth="1"/>
    <col min="12911" max="12911" width="10" style="2" customWidth="1"/>
    <col min="12912" max="12912" width="9.140625" style="2" customWidth="1"/>
    <col min="12913" max="12913" width="9.85546875" style="2" customWidth="1"/>
    <col min="12914" max="12914" width="9.5703125" style="2" customWidth="1"/>
    <col min="12915" max="12915" width="10.85546875" style="2" customWidth="1"/>
    <col min="12916" max="12916" width="10.5703125" style="2" customWidth="1"/>
    <col min="12917" max="12917" width="10.28515625" style="2" customWidth="1"/>
    <col min="12918" max="12918" width="9.5703125" style="2" customWidth="1"/>
    <col min="12919" max="12919" width="9.28515625" style="2" customWidth="1"/>
    <col min="12920" max="12920" width="10.28515625" style="2" customWidth="1"/>
    <col min="12921" max="12921" width="10" style="2" customWidth="1"/>
    <col min="12922" max="12922" width="9" style="2" customWidth="1"/>
    <col min="12923" max="12923" width="10.42578125" style="2" customWidth="1"/>
    <col min="12924" max="12925" width="9.85546875" style="2" customWidth="1"/>
    <col min="12926" max="12926" width="10" style="2" customWidth="1"/>
    <col min="12927" max="12927" width="8.28515625" style="2" customWidth="1"/>
    <col min="12928" max="12928" width="9.85546875" style="2" customWidth="1"/>
    <col min="12929" max="12929" width="11.5703125" style="2" customWidth="1"/>
    <col min="12930" max="12930" width="9.140625" style="2" bestFit="1" customWidth="1"/>
    <col min="12931" max="12931" width="10" style="2" customWidth="1"/>
    <col min="12932" max="12932" width="8" style="2" customWidth="1"/>
    <col min="12933" max="12933" width="11.28515625" style="2" customWidth="1"/>
    <col min="12934" max="12936" width="10.140625" style="2" bestFit="1" customWidth="1"/>
    <col min="12937" max="12937" width="12.28515625" style="2" customWidth="1"/>
    <col min="12938" max="12939" width="5.7109375" style="2"/>
    <col min="12940" max="12940" width="10.28515625" style="2" bestFit="1" customWidth="1"/>
    <col min="12941" max="12946" width="5.7109375" style="2"/>
    <col min="12947" max="12947" width="22" style="2" customWidth="1"/>
    <col min="12948" max="12948" width="16" style="2" customWidth="1"/>
    <col min="12949" max="12949" width="7.140625" style="2" bestFit="1" customWidth="1"/>
    <col min="12950" max="12950" width="9.28515625" style="2" bestFit="1" customWidth="1"/>
    <col min="12951" max="13011" width="5.7109375" style="2"/>
    <col min="13012" max="13012" width="29.42578125" style="2" customWidth="1"/>
    <col min="13013" max="13013" width="4.7109375" style="2" customWidth="1"/>
    <col min="13014" max="13015" width="9.7109375" style="2" customWidth="1"/>
    <col min="13016" max="13016" width="9.42578125" style="2" customWidth="1"/>
    <col min="13017" max="13017" width="9.140625" style="2" customWidth="1"/>
    <col min="13018" max="13018" width="8.85546875" style="2" customWidth="1"/>
    <col min="13019" max="13019" width="9.7109375" style="2" customWidth="1"/>
    <col min="13020" max="13020" width="8.140625" style="2" customWidth="1"/>
    <col min="13021" max="13021" width="10.42578125" style="2" customWidth="1"/>
    <col min="13022" max="13022" width="9.140625" style="2" customWidth="1"/>
    <col min="13023" max="13023" width="9.85546875" style="2" customWidth="1"/>
    <col min="13024" max="13024" width="9.42578125" style="2" customWidth="1"/>
    <col min="13025" max="13025" width="9.5703125" style="2" customWidth="1"/>
    <col min="13026" max="13026" width="9.28515625" style="2" customWidth="1"/>
    <col min="13027" max="13027" width="9.140625" style="2" customWidth="1"/>
    <col min="13028" max="13028" width="9.28515625" style="2" bestFit="1" customWidth="1"/>
    <col min="13029" max="13029" width="10.5703125" style="2" customWidth="1"/>
    <col min="13030" max="13030" width="7.7109375" style="2" customWidth="1"/>
    <col min="13031" max="13031" width="9.140625" style="2" customWidth="1"/>
    <col min="13032" max="13032" width="7.85546875" style="2" customWidth="1"/>
    <col min="13033" max="13033" width="8.7109375" style="2" customWidth="1"/>
    <col min="13034" max="13034" width="9.42578125" style="2" customWidth="1"/>
    <col min="13035" max="13035" width="10.28515625" style="2" customWidth="1"/>
    <col min="13036" max="13036" width="9.85546875" style="2" customWidth="1"/>
    <col min="13037" max="13037" width="10.140625" style="2" customWidth="1"/>
    <col min="13038" max="13039" width="8.140625" style="2" customWidth="1"/>
    <col min="13040" max="13041" width="7.85546875" style="2" customWidth="1"/>
    <col min="13042" max="13042" width="9.140625" style="2" customWidth="1"/>
    <col min="13043" max="13043" width="9.7109375" style="2" customWidth="1"/>
    <col min="13044" max="13044" width="8.28515625" style="2" customWidth="1"/>
    <col min="13045" max="13045" width="9.140625" style="2" customWidth="1"/>
    <col min="13046" max="13046" width="10" style="2" customWidth="1"/>
    <col min="13047" max="13047" width="10.28515625" style="2" customWidth="1"/>
    <col min="13048" max="13048" width="9.85546875" style="2" customWidth="1"/>
    <col min="13049" max="13049" width="9.42578125" style="2" customWidth="1"/>
    <col min="13050" max="13050" width="9.7109375" style="2" customWidth="1"/>
    <col min="13051" max="13051" width="9.42578125" style="2" customWidth="1"/>
    <col min="13052" max="13052" width="9.28515625" style="2" customWidth="1"/>
    <col min="13053" max="13053" width="10.5703125" style="2" customWidth="1"/>
    <col min="13054" max="13055" width="8.85546875" style="2" customWidth="1"/>
    <col min="13056" max="13056" width="8.28515625" style="2" customWidth="1"/>
    <col min="13057" max="13057" width="8.85546875" style="2" customWidth="1"/>
    <col min="13058" max="13058" width="9.5703125" style="2" customWidth="1"/>
    <col min="13059" max="13059" width="8.42578125" style="2" customWidth="1"/>
    <col min="13060" max="13060" width="9.5703125" style="2" customWidth="1"/>
    <col min="13061" max="13061" width="8.28515625" style="2" customWidth="1"/>
    <col min="13062" max="13062" width="9.28515625" style="2" customWidth="1"/>
    <col min="13063" max="13063" width="9.85546875" style="2" customWidth="1"/>
    <col min="13064" max="13064" width="10.28515625" style="2" customWidth="1"/>
    <col min="13065" max="13065" width="10.42578125" style="2" customWidth="1"/>
    <col min="13066" max="13066" width="9.5703125" style="2" customWidth="1"/>
    <col min="13067" max="13067" width="10.140625" style="2" customWidth="1"/>
    <col min="13068" max="13068" width="9.5703125" style="2" customWidth="1"/>
    <col min="13069" max="13069" width="10.28515625" style="2" customWidth="1"/>
    <col min="13070" max="13070" width="10" style="2" customWidth="1"/>
    <col min="13071" max="13071" width="9.140625" style="2" customWidth="1"/>
    <col min="13072" max="13072" width="10.5703125" style="2" customWidth="1"/>
    <col min="13073" max="13073" width="9.28515625" style="2" customWidth="1"/>
    <col min="13074" max="13075" width="9.42578125" style="2" customWidth="1"/>
    <col min="13076" max="13076" width="9" style="2" customWidth="1"/>
    <col min="13077" max="13077" width="11" style="2" customWidth="1"/>
    <col min="13078" max="13078" width="9.28515625" style="2" customWidth="1"/>
    <col min="13079" max="13079" width="9.7109375" style="2" customWidth="1"/>
    <col min="13080" max="13080" width="10.85546875" style="2" customWidth="1"/>
    <col min="13081" max="13081" width="10.5703125" style="2" customWidth="1"/>
    <col min="13082" max="13082" width="10.28515625" style="2" customWidth="1"/>
    <col min="13083" max="13083" width="9.85546875" style="2" customWidth="1"/>
    <col min="13084" max="13084" width="10.28515625" style="2" customWidth="1"/>
    <col min="13085" max="13085" width="9" style="2" customWidth="1"/>
    <col min="13086" max="13086" width="9.85546875" style="2" customWidth="1"/>
    <col min="13087" max="13087" width="9.42578125" style="2" customWidth="1"/>
    <col min="13088" max="13088" width="9.140625" style="2" customWidth="1"/>
    <col min="13089" max="13089" width="11" style="2" customWidth="1"/>
    <col min="13090" max="13090" width="9.28515625" style="2" customWidth="1"/>
    <col min="13091" max="13091" width="9.5703125" style="2" customWidth="1"/>
    <col min="13092" max="13092" width="10.42578125" style="2" customWidth="1"/>
    <col min="13093" max="13093" width="9" style="2" customWidth="1"/>
    <col min="13094" max="13094" width="9.7109375" style="2" customWidth="1"/>
    <col min="13095" max="13095" width="10" style="2" customWidth="1"/>
    <col min="13096" max="13096" width="10.7109375" style="2" customWidth="1"/>
    <col min="13097" max="13097" width="9.42578125" style="2" customWidth="1"/>
    <col min="13098" max="13098" width="10.28515625" style="2" customWidth="1"/>
    <col min="13099" max="13099" width="9.5703125" style="2" customWidth="1"/>
    <col min="13100" max="13100" width="10" style="2" customWidth="1"/>
    <col min="13101" max="13101" width="9" style="2" customWidth="1"/>
    <col min="13102" max="13102" width="10.5703125" style="2" customWidth="1"/>
    <col min="13103" max="13103" width="11.28515625" style="2" customWidth="1"/>
    <col min="13104" max="13104" width="10.5703125" style="2" customWidth="1"/>
    <col min="13105" max="13105" width="9.7109375" style="2" customWidth="1"/>
    <col min="13106" max="13106" width="9.5703125" style="2" customWidth="1"/>
    <col min="13107" max="13107" width="10.5703125" style="2" customWidth="1"/>
    <col min="13108" max="13108" width="10.42578125" style="2" customWidth="1"/>
    <col min="13109" max="13109" width="9.85546875" style="2" customWidth="1"/>
    <col min="13110" max="13110" width="10.5703125" style="2" bestFit="1" customWidth="1"/>
    <col min="13111" max="13113" width="10.140625" style="2" bestFit="1" customWidth="1"/>
    <col min="13114" max="13114" width="8.85546875" style="2" customWidth="1"/>
    <col min="13115" max="13115" width="9.140625" style="2" bestFit="1" customWidth="1"/>
    <col min="13116" max="13117" width="10.140625" style="2" customWidth="1"/>
    <col min="13118" max="13118" width="10" style="2" customWidth="1"/>
    <col min="13119" max="13119" width="8.28515625" style="2" customWidth="1"/>
    <col min="13120" max="13120" width="9" style="2" customWidth="1"/>
    <col min="13121" max="13121" width="10.5703125" style="2" customWidth="1"/>
    <col min="13122" max="13122" width="10.140625" style="2" customWidth="1"/>
    <col min="13123" max="13123" width="9.7109375" style="2" customWidth="1"/>
    <col min="13124" max="13124" width="9.140625" style="2" customWidth="1"/>
    <col min="13125" max="13125" width="10.140625" style="2" customWidth="1"/>
    <col min="13126" max="13126" width="9" style="2" customWidth="1"/>
    <col min="13127" max="13127" width="9.28515625" style="2" customWidth="1"/>
    <col min="13128" max="13128" width="11" style="2" customWidth="1"/>
    <col min="13129" max="13129" width="10.140625" style="2" customWidth="1"/>
    <col min="13130" max="13130" width="10.7109375" style="2" customWidth="1"/>
    <col min="13131" max="13131" width="9.85546875" style="2" customWidth="1"/>
    <col min="13132" max="13132" width="11" style="2" customWidth="1"/>
    <col min="13133" max="13133" width="10" style="2" customWidth="1"/>
    <col min="13134" max="13134" width="9.140625" style="2" customWidth="1"/>
    <col min="13135" max="13135" width="10.28515625" style="2" customWidth="1"/>
    <col min="13136" max="13136" width="10.5703125" style="2" customWidth="1"/>
    <col min="13137" max="13137" width="9.85546875" style="2" customWidth="1"/>
    <col min="13138" max="13138" width="10.7109375" style="2" customWidth="1"/>
    <col min="13139" max="13139" width="9.42578125" style="2" customWidth="1"/>
    <col min="13140" max="13140" width="10.42578125" style="2" customWidth="1"/>
    <col min="13141" max="13141" width="9.85546875" style="2" customWidth="1"/>
    <col min="13142" max="13142" width="10.7109375" style="2" customWidth="1"/>
    <col min="13143" max="13143" width="10.140625" style="2" customWidth="1"/>
    <col min="13144" max="13144" width="10.28515625" style="2" customWidth="1"/>
    <col min="13145" max="13145" width="9" style="2" customWidth="1"/>
    <col min="13146" max="13146" width="11.140625" style="2" customWidth="1"/>
    <col min="13147" max="13147" width="10.28515625" style="2" customWidth="1"/>
    <col min="13148" max="13148" width="9.42578125" style="2" customWidth="1"/>
    <col min="13149" max="13149" width="10.42578125" style="2" customWidth="1"/>
    <col min="13150" max="13150" width="9.42578125" style="2" customWidth="1"/>
    <col min="13151" max="13151" width="9" style="2" customWidth="1"/>
    <col min="13152" max="13152" width="10.28515625" style="2" customWidth="1"/>
    <col min="13153" max="13153" width="8.42578125" style="2" customWidth="1"/>
    <col min="13154" max="13154" width="9.7109375" style="2" customWidth="1"/>
    <col min="13155" max="13155" width="8.7109375" style="2" customWidth="1"/>
    <col min="13156" max="13156" width="9.42578125" style="2" customWidth="1"/>
    <col min="13157" max="13157" width="10.85546875" style="2" customWidth="1"/>
    <col min="13158" max="13158" width="9.7109375" style="2" customWidth="1"/>
    <col min="13159" max="13159" width="11.42578125" style="2" customWidth="1"/>
    <col min="13160" max="13160" width="11" style="2" customWidth="1"/>
    <col min="13161" max="13161" width="9.42578125" style="2" customWidth="1"/>
    <col min="13162" max="13162" width="10.28515625" style="2" customWidth="1"/>
    <col min="13163" max="13163" width="10.42578125" style="2" customWidth="1"/>
    <col min="13164" max="13164" width="10.28515625" style="2" customWidth="1"/>
    <col min="13165" max="13166" width="9.140625" style="2" bestFit="1" customWidth="1"/>
    <col min="13167" max="13167" width="10" style="2" customWidth="1"/>
    <col min="13168" max="13168" width="9.140625" style="2" customWidth="1"/>
    <col min="13169" max="13169" width="9.85546875" style="2" customWidth="1"/>
    <col min="13170" max="13170" width="9.5703125" style="2" customWidth="1"/>
    <col min="13171" max="13171" width="10.85546875" style="2" customWidth="1"/>
    <col min="13172" max="13172" width="10.5703125" style="2" customWidth="1"/>
    <col min="13173" max="13173" width="10.28515625" style="2" customWidth="1"/>
    <col min="13174" max="13174" width="9.5703125" style="2" customWidth="1"/>
    <col min="13175" max="13175" width="9.28515625" style="2" customWidth="1"/>
    <col min="13176" max="13176" width="10.28515625" style="2" customWidth="1"/>
    <col min="13177" max="13177" width="10" style="2" customWidth="1"/>
    <col min="13178" max="13178" width="9" style="2" customWidth="1"/>
    <col min="13179" max="13179" width="10.42578125" style="2" customWidth="1"/>
    <col min="13180" max="13181" width="9.85546875" style="2" customWidth="1"/>
    <col min="13182" max="13182" width="10" style="2" customWidth="1"/>
    <col min="13183" max="13183" width="8.28515625" style="2" customWidth="1"/>
    <col min="13184" max="13184" width="9.85546875" style="2" customWidth="1"/>
    <col min="13185" max="13185" width="11.5703125" style="2" customWidth="1"/>
    <col min="13186" max="13186" width="9.140625" style="2" bestFit="1" customWidth="1"/>
    <col min="13187" max="13187" width="10" style="2" customWidth="1"/>
    <col min="13188" max="13188" width="8" style="2" customWidth="1"/>
    <col min="13189" max="13189" width="11.28515625" style="2" customWidth="1"/>
    <col min="13190" max="13192" width="10.140625" style="2" bestFit="1" customWidth="1"/>
    <col min="13193" max="13193" width="12.28515625" style="2" customWidth="1"/>
    <col min="13194" max="13195" width="5.7109375" style="2"/>
    <col min="13196" max="13196" width="10.28515625" style="2" bestFit="1" customWidth="1"/>
    <col min="13197" max="13202" width="5.7109375" style="2"/>
    <col min="13203" max="13203" width="22" style="2" customWidth="1"/>
    <col min="13204" max="13204" width="16" style="2" customWidth="1"/>
    <col min="13205" max="13205" width="7.140625" style="2" bestFit="1" customWidth="1"/>
    <col min="13206" max="13206" width="9.28515625" style="2" bestFit="1" customWidth="1"/>
    <col min="13207" max="13267" width="5.7109375" style="2"/>
    <col min="13268" max="13268" width="29.42578125" style="2" customWidth="1"/>
    <col min="13269" max="13269" width="4.7109375" style="2" customWidth="1"/>
    <col min="13270" max="13271" width="9.7109375" style="2" customWidth="1"/>
    <col min="13272" max="13272" width="9.42578125" style="2" customWidth="1"/>
    <col min="13273" max="13273" width="9.140625" style="2" customWidth="1"/>
    <col min="13274" max="13274" width="8.85546875" style="2" customWidth="1"/>
    <col min="13275" max="13275" width="9.7109375" style="2" customWidth="1"/>
    <col min="13276" max="13276" width="8.140625" style="2" customWidth="1"/>
    <col min="13277" max="13277" width="10.42578125" style="2" customWidth="1"/>
    <col min="13278" max="13278" width="9.140625" style="2" customWidth="1"/>
    <col min="13279" max="13279" width="9.85546875" style="2" customWidth="1"/>
    <col min="13280" max="13280" width="9.42578125" style="2" customWidth="1"/>
    <col min="13281" max="13281" width="9.5703125" style="2" customWidth="1"/>
    <col min="13282" max="13282" width="9.28515625" style="2" customWidth="1"/>
    <col min="13283" max="13283" width="9.140625" style="2" customWidth="1"/>
    <col min="13284" max="13284" width="9.28515625" style="2" bestFit="1" customWidth="1"/>
    <col min="13285" max="13285" width="10.5703125" style="2" customWidth="1"/>
    <col min="13286" max="13286" width="7.7109375" style="2" customWidth="1"/>
    <col min="13287" max="13287" width="9.140625" style="2" customWidth="1"/>
    <col min="13288" max="13288" width="7.85546875" style="2" customWidth="1"/>
    <col min="13289" max="13289" width="8.7109375" style="2" customWidth="1"/>
    <col min="13290" max="13290" width="9.42578125" style="2" customWidth="1"/>
    <col min="13291" max="13291" width="10.28515625" style="2" customWidth="1"/>
    <col min="13292" max="13292" width="9.85546875" style="2" customWidth="1"/>
    <col min="13293" max="13293" width="10.140625" style="2" customWidth="1"/>
    <col min="13294" max="13295" width="8.140625" style="2" customWidth="1"/>
    <col min="13296" max="13297" width="7.85546875" style="2" customWidth="1"/>
    <col min="13298" max="13298" width="9.140625" style="2" customWidth="1"/>
    <col min="13299" max="13299" width="9.7109375" style="2" customWidth="1"/>
    <col min="13300" max="13300" width="8.28515625" style="2" customWidth="1"/>
    <col min="13301" max="13301" width="9.140625" style="2" customWidth="1"/>
    <col min="13302" max="13302" width="10" style="2" customWidth="1"/>
    <col min="13303" max="13303" width="10.28515625" style="2" customWidth="1"/>
    <col min="13304" max="13304" width="9.85546875" style="2" customWidth="1"/>
    <col min="13305" max="13305" width="9.42578125" style="2" customWidth="1"/>
    <col min="13306" max="13306" width="9.7109375" style="2" customWidth="1"/>
    <col min="13307" max="13307" width="9.42578125" style="2" customWidth="1"/>
    <col min="13308" max="13308" width="9.28515625" style="2" customWidth="1"/>
    <col min="13309" max="13309" width="10.5703125" style="2" customWidth="1"/>
    <col min="13310" max="13311" width="8.85546875" style="2" customWidth="1"/>
    <col min="13312" max="13312" width="8.28515625" style="2" customWidth="1"/>
    <col min="13313" max="13313" width="8.85546875" style="2" customWidth="1"/>
    <col min="13314" max="13314" width="9.5703125" style="2" customWidth="1"/>
    <col min="13315" max="13315" width="8.42578125" style="2" customWidth="1"/>
    <col min="13316" max="13316" width="9.5703125" style="2" customWidth="1"/>
    <col min="13317" max="13317" width="8.28515625" style="2" customWidth="1"/>
    <col min="13318" max="13318" width="9.28515625" style="2" customWidth="1"/>
    <col min="13319" max="13319" width="9.85546875" style="2" customWidth="1"/>
    <col min="13320" max="13320" width="10.28515625" style="2" customWidth="1"/>
    <col min="13321" max="13321" width="10.42578125" style="2" customWidth="1"/>
    <col min="13322" max="13322" width="9.5703125" style="2" customWidth="1"/>
    <col min="13323" max="13323" width="10.140625" style="2" customWidth="1"/>
    <col min="13324" max="13324" width="9.5703125" style="2" customWidth="1"/>
    <col min="13325" max="13325" width="10.28515625" style="2" customWidth="1"/>
    <col min="13326" max="13326" width="10" style="2" customWidth="1"/>
    <col min="13327" max="13327" width="9.140625" style="2" customWidth="1"/>
    <col min="13328" max="13328" width="10.5703125" style="2" customWidth="1"/>
    <col min="13329" max="13329" width="9.28515625" style="2" customWidth="1"/>
    <col min="13330" max="13331" width="9.42578125" style="2" customWidth="1"/>
    <col min="13332" max="13332" width="9" style="2" customWidth="1"/>
    <col min="13333" max="13333" width="11" style="2" customWidth="1"/>
    <col min="13334" max="13334" width="9.28515625" style="2" customWidth="1"/>
    <col min="13335" max="13335" width="9.7109375" style="2" customWidth="1"/>
    <col min="13336" max="13336" width="10.85546875" style="2" customWidth="1"/>
    <col min="13337" max="13337" width="10.5703125" style="2" customWidth="1"/>
    <col min="13338" max="13338" width="10.28515625" style="2" customWidth="1"/>
    <col min="13339" max="13339" width="9.85546875" style="2" customWidth="1"/>
    <col min="13340" max="13340" width="10.28515625" style="2" customWidth="1"/>
    <col min="13341" max="13341" width="9" style="2" customWidth="1"/>
    <col min="13342" max="13342" width="9.85546875" style="2" customWidth="1"/>
    <col min="13343" max="13343" width="9.42578125" style="2" customWidth="1"/>
    <col min="13344" max="13344" width="9.140625" style="2" customWidth="1"/>
    <col min="13345" max="13345" width="11" style="2" customWidth="1"/>
    <col min="13346" max="13346" width="9.28515625" style="2" customWidth="1"/>
    <col min="13347" max="13347" width="9.5703125" style="2" customWidth="1"/>
    <col min="13348" max="13348" width="10.42578125" style="2" customWidth="1"/>
    <col min="13349" max="13349" width="9" style="2" customWidth="1"/>
    <col min="13350" max="13350" width="9.7109375" style="2" customWidth="1"/>
    <col min="13351" max="13351" width="10" style="2" customWidth="1"/>
    <col min="13352" max="13352" width="10.7109375" style="2" customWidth="1"/>
    <col min="13353" max="13353" width="9.42578125" style="2" customWidth="1"/>
    <col min="13354" max="13354" width="10.28515625" style="2" customWidth="1"/>
    <col min="13355" max="13355" width="9.5703125" style="2" customWidth="1"/>
    <col min="13356" max="13356" width="10" style="2" customWidth="1"/>
    <col min="13357" max="13357" width="9" style="2" customWidth="1"/>
    <col min="13358" max="13358" width="10.5703125" style="2" customWidth="1"/>
    <col min="13359" max="13359" width="11.28515625" style="2" customWidth="1"/>
    <col min="13360" max="13360" width="10.5703125" style="2" customWidth="1"/>
    <col min="13361" max="13361" width="9.7109375" style="2" customWidth="1"/>
    <col min="13362" max="13362" width="9.5703125" style="2" customWidth="1"/>
    <col min="13363" max="13363" width="10.5703125" style="2" customWidth="1"/>
    <col min="13364" max="13364" width="10.42578125" style="2" customWidth="1"/>
    <col min="13365" max="13365" width="9.85546875" style="2" customWidth="1"/>
    <col min="13366" max="13366" width="10.5703125" style="2" bestFit="1" customWidth="1"/>
    <col min="13367" max="13369" width="10.140625" style="2" bestFit="1" customWidth="1"/>
    <col min="13370" max="13370" width="8.85546875" style="2" customWidth="1"/>
    <col min="13371" max="13371" width="9.140625" style="2" bestFit="1" customWidth="1"/>
    <col min="13372" max="13373" width="10.140625" style="2" customWidth="1"/>
    <col min="13374" max="13374" width="10" style="2" customWidth="1"/>
    <col min="13375" max="13375" width="8.28515625" style="2" customWidth="1"/>
    <col min="13376" max="13376" width="9" style="2" customWidth="1"/>
    <col min="13377" max="13377" width="10.5703125" style="2" customWidth="1"/>
    <col min="13378" max="13378" width="10.140625" style="2" customWidth="1"/>
    <col min="13379" max="13379" width="9.7109375" style="2" customWidth="1"/>
    <col min="13380" max="13380" width="9.140625" style="2" customWidth="1"/>
    <col min="13381" max="13381" width="10.140625" style="2" customWidth="1"/>
    <col min="13382" max="13382" width="9" style="2" customWidth="1"/>
    <col min="13383" max="13383" width="9.28515625" style="2" customWidth="1"/>
    <col min="13384" max="13384" width="11" style="2" customWidth="1"/>
    <col min="13385" max="13385" width="10.140625" style="2" customWidth="1"/>
    <col min="13386" max="13386" width="10.7109375" style="2" customWidth="1"/>
    <col min="13387" max="13387" width="9.85546875" style="2" customWidth="1"/>
    <col min="13388" max="13388" width="11" style="2" customWidth="1"/>
    <col min="13389" max="13389" width="10" style="2" customWidth="1"/>
    <col min="13390" max="13390" width="9.140625" style="2" customWidth="1"/>
    <col min="13391" max="13391" width="10.28515625" style="2" customWidth="1"/>
    <col min="13392" max="13392" width="10.5703125" style="2" customWidth="1"/>
    <col min="13393" max="13393" width="9.85546875" style="2" customWidth="1"/>
    <col min="13394" max="13394" width="10.7109375" style="2" customWidth="1"/>
    <col min="13395" max="13395" width="9.42578125" style="2" customWidth="1"/>
    <col min="13396" max="13396" width="10.42578125" style="2" customWidth="1"/>
    <col min="13397" max="13397" width="9.85546875" style="2" customWidth="1"/>
    <col min="13398" max="13398" width="10.7109375" style="2" customWidth="1"/>
    <col min="13399" max="13399" width="10.140625" style="2" customWidth="1"/>
    <col min="13400" max="13400" width="10.28515625" style="2" customWidth="1"/>
    <col min="13401" max="13401" width="9" style="2" customWidth="1"/>
    <col min="13402" max="13402" width="11.140625" style="2" customWidth="1"/>
    <col min="13403" max="13403" width="10.28515625" style="2" customWidth="1"/>
    <col min="13404" max="13404" width="9.42578125" style="2" customWidth="1"/>
    <col min="13405" max="13405" width="10.42578125" style="2" customWidth="1"/>
    <col min="13406" max="13406" width="9.42578125" style="2" customWidth="1"/>
    <col min="13407" max="13407" width="9" style="2" customWidth="1"/>
    <col min="13408" max="13408" width="10.28515625" style="2" customWidth="1"/>
    <col min="13409" max="13409" width="8.42578125" style="2" customWidth="1"/>
    <col min="13410" max="13410" width="9.7109375" style="2" customWidth="1"/>
    <col min="13411" max="13411" width="8.7109375" style="2" customWidth="1"/>
    <col min="13412" max="13412" width="9.42578125" style="2" customWidth="1"/>
    <col min="13413" max="13413" width="10.85546875" style="2" customWidth="1"/>
    <col min="13414" max="13414" width="9.7109375" style="2" customWidth="1"/>
    <col min="13415" max="13415" width="11.42578125" style="2" customWidth="1"/>
    <col min="13416" max="13416" width="11" style="2" customWidth="1"/>
    <col min="13417" max="13417" width="9.42578125" style="2" customWidth="1"/>
    <col min="13418" max="13418" width="10.28515625" style="2" customWidth="1"/>
    <col min="13419" max="13419" width="10.42578125" style="2" customWidth="1"/>
    <col min="13420" max="13420" width="10.28515625" style="2" customWidth="1"/>
    <col min="13421" max="13422" width="9.140625" style="2" bestFit="1" customWidth="1"/>
    <col min="13423" max="13423" width="10" style="2" customWidth="1"/>
    <col min="13424" max="13424" width="9.140625" style="2" customWidth="1"/>
    <col min="13425" max="13425" width="9.85546875" style="2" customWidth="1"/>
    <col min="13426" max="13426" width="9.5703125" style="2" customWidth="1"/>
    <col min="13427" max="13427" width="10.85546875" style="2" customWidth="1"/>
    <col min="13428" max="13428" width="10.5703125" style="2" customWidth="1"/>
    <col min="13429" max="13429" width="10.28515625" style="2" customWidth="1"/>
    <col min="13430" max="13430" width="9.5703125" style="2" customWidth="1"/>
    <col min="13431" max="13431" width="9.28515625" style="2" customWidth="1"/>
    <col min="13432" max="13432" width="10.28515625" style="2" customWidth="1"/>
    <col min="13433" max="13433" width="10" style="2" customWidth="1"/>
    <col min="13434" max="13434" width="9" style="2" customWidth="1"/>
    <col min="13435" max="13435" width="10.42578125" style="2" customWidth="1"/>
    <col min="13436" max="13437" width="9.85546875" style="2" customWidth="1"/>
    <col min="13438" max="13438" width="10" style="2" customWidth="1"/>
    <col min="13439" max="13439" width="8.28515625" style="2" customWidth="1"/>
    <col min="13440" max="13440" width="9.85546875" style="2" customWidth="1"/>
    <col min="13441" max="13441" width="11.5703125" style="2" customWidth="1"/>
    <col min="13442" max="13442" width="9.140625" style="2" bestFit="1" customWidth="1"/>
    <col min="13443" max="13443" width="10" style="2" customWidth="1"/>
    <col min="13444" max="13444" width="8" style="2" customWidth="1"/>
    <col min="13445" max="13445" width="11.28515625" style="2" customWidth="1"/>
    <col min="13446" max="13448" width="10.140625" style="2" bestFit="1" customWidth="1"/>
    <col min="13449" max="13449" width="12.28515625" style="2" customWidth="1"/>
    <col min="13450" max="13451" width="5.7109375" style="2"/>
    <col min="13452" max="13452" width="10.28515625" style="2" bestFit="1" customWidth="1"/>
    <col min="13453" max="13458" width="5.7109375" style="2"/>
    <col min="13459" max="13459" width="22" style="2" customWidth="1"/>
    <col min="13460" max="13460" width="16" style="2" customWidth="1"/>
    <col min="13461" max="13461" width="7.140625" style="2" bestFit="1" customWidth="1"/>
    <col min="13462" max="13462" width="9.28515625" style="2" bestFit="1" customWidth="1"/>
    <col min="13463" max="13523" width="5.7109375" style="2"/>
    <col min="13524" max="13524" width="29.42578125" style="2" customWidth="1"/>
    <col min="13525" max="13525" width="4.7109375" style="2" customWidth="1"/>
    <col min="13526" max="13527" width="9.7109375" style="2" customWidth="1"/>
    <col min="13528" max="13528" width="9.42578125" style="2" customWidth="1"/>
    <col min="13529" max="13529" width="9.140625" style="2" customWidth="1"/>
    <col min="13530" max="13530" width="8.85546875" style="2" customWidth="1"/>
    <col min="13531" max="13531" width="9.7109375" style="2" customWidth="1"/>
    <col min="13532" max="13532" width="8.140625" style="2" customWidth="1"/>
    <col min="13533" max="13533" width="10.42578125" style="2" customWidth="1"/>
    <col min="13534" max="13534" width="9.140625" style="2" customWidth="1"/>
    <col min="13535" max="13535" width="9.85546875" style="2" customWidth="1"/>
    <col min="13536" max="13536" width="9.42578125" style="2" customWidth="1"/>
    <col min="13537" max="13537" width="9.5703125" style="2" customWidth="1"/>
    <col min="13538" max="13538" width="9.28515625" style="2" customWidth="1"/>
    <col min="13539" max="13539" width="9.140625" style="2" customWidth="1"/>
    <col min="13540" max="13540" width="9.28515625" style="2" bestFit="1" customWidth="1"/>
    <col min="13541" max="13541" width="10.5703125" style="2" customWidth="1"/>
    <col min="13542" max="13542" width="7.7109375" style="2" customWidth="1"/>
    <col min="13543" max="13543" width="9.140625" style="2" customWidth="1"/>
    <col min="13544" max="13544" width="7.85546875" style="2" customWidth="1"/>
    <col min="13545" max="13545" width="8.7109375" style="2" customWidth="1"/>
    <col min="13546" max="13546" width="9.42578125" style="2" customWidth="1"/>
    <col min="13547" max="13547" width="10.28515625" style="2" customWidth="1"/>
    <col min="13548" max="13548" width="9.85546875" style="2" customWidth="1"/>
    <col min="13549" max="13549" width="10.140625" style="2" customWidth="1"/>
    <col min="13550" max="13551" width="8.140625" style="2" customWidth="1"/>
    <col min="13552" max="13553" width="7.85546875" style="2" customWidth="1"/>
    <col min="13554" max="13554" width="9.140625" style="2" customWidth="1"/>
    <col min="13555" max="13555" width="9.7109375" style="2" customWidth="1"/>
    <col min="13556" max="13556" width="8.28515625" style="2" customWidth="1"/>
    <col min="13557" max="13557" width="9.140625" style="2" customWidth="1"/>
    <col min="13558" max="13558" width="10" style="2" customWidth="1"/>
    <col min="13559" max="13559" width="10.28515625" style="2" customWidth="1"/>
    <col min="13560" max="13560" width="9.85546875" style="2" customWidth="1"/>
    <col min="13561" max="13561" width="9.42578125" style="2" customWidth="1"/>
    <col min="13562" max="13562" width="9.7109375" style="2" customWidth="1"/>
    <col min="13563" max="13563" width="9.42578125" style="2" customWidth="1"/>
    <col min="13564" max="13564" width="9.28515625" style="2" customWidth="1"/>
    <col min="13565" max="13565" width="10.5703125" style="2" customWidth="1"/>
    <col min="13566" max="13567" width="8.85546875" style="2" customWidth="1"/>
    <col min="13568" max="13568" width="8.28515625" style="2" customWidth="1"/>
    <col min="13569" max="13569" width="8.85546875" style="2" customWidth="1"/>
    <col min="13570" max="13570" width="9.5703125" style="2" customWidth="1"/>
    <col min="13571" max="13571" width="8.42578125" style="2" customWidth="1"/>
    <col min="13572" max="13572" width="9.5703125" style="2" customWidth="1"/>
    <col min="13573" max="13573" width="8.28515625" style="2" customWidth="1"/>
    <col min="13574" max="13574" width="9.28515625" style="2" customWidth="1"/>
    <col min="13575" max="13575" width="9.85546875" style="2" customWidth="1"/>
    <col min="13576" max="13576" width="10.28515625" style="2" customWidth="1"/>
    <col min="13577" max="13577" width="10.42578125" style="2" customWidth="1"/>
    <col min="13578" max="13578" width="9.5703125" style="2" customWidth="1"/>
    <col min="13579" max="13579" width="10.140625" style="2" customWidth="1"/>
    <col min="13580" max="13580" width="9.5703125" style="2" customWidth="1"/>
    <col min="13581" max="13581" width="10.28515625" style="2" customWidth="1"/>
    <col min="13582" max="13582" width="10" style="2" customWidth="1"/>
    <col min="13583" max="13583" width="9.140625" style="2" customWidth="1"/>
    <col min="13584" max="13584" width="10.5703125" style="2" customWidth="1"/>
    <col min="13585" max="13585" width="9.28515625" style="2" customWidth="1"/>
    <col min="13586" max="13587" width="9.42578125" style="2" customWidth="1"/>
    <col min="13588" max="13588" width="9" style="2" customWidth="1"/>
    <col min="13589" max="13589" width="11" style="2" customWidth="1"/>
    <col min="13590" max="13590" width="9.28515625" style="2" customWidth="1"/>
    <col min="13591" max="13591" width="9.7109375" style="2" customWidth="1"/>
    <col min="13592" max="13592" width="10.85546875" style="2" customWidth="1"/>
    <col min="13593" max="13593" width="10.5703125" style="2" customWidth="1"/>
    <col min="13594" max="13594" width="10.28515625" style="2" customWidth="1"/>
    <col min="13595" max="13595" width="9.85546875" style="2" customWidth="1"/>
    <col min="13596" max="13596" width="10.28515625" style="2" customWidth="1"/>
    <col min="13597" max="13597" width="9" style="2" customWidth="1"/>
    <col min="13598" max="13598" width="9.85546875" style="2" customWidth="1"/>
    <col min="13599" max="13599" width="9.42578125" style="2" customWidth="1"/>
    <col min="13600" max="13600" width="9.140625" style="2" customWidth="1"/>
    <col min="13601" max="13601" width="11" style="2" customWidth="1"/>
    <col min="13602" max="13602" width="9.28515625" style="2" customWidth="1"/>
    <col min="13603" max="13603" width="9.5703125" style="2" customWidth="1"/>
    <col min="13604" max="13604" width="10.42578125" style="2" customWidth="1"/>
    <col min="13605" max="13605" width="9" style="2" customWidth="1"/>
    <col min="13606" max="13606" width="9.7109375" style="2" customWidth="1"/>
    <col min="13607" max="13607" width="10" style="2" customWidth="1"/>
    <col min="13608" max="13608" width="10.7109375" style="2" customWidth="1"/>
    <col min="13609" max="13609" width="9.42578125" style="2" customWidth="1"/>
    <col min="13610" max="13610" width="10.28515625" style="2" customWidth="1"/>
    <col min="13611" max="13611" width="9.5703125" style="2" customWidth="1"/>
    <col min="13612" max="13612" width="10" style="2" customWidth="1"/>
    <col min="13613" max="13613" width="9" style="2" customWidth="1"/>
    <col min="13614" max="13614" width="10.5703125" style="2" customWidth="1"/>
    <col min="13615" max="13615" width="11.28515625" style="2" customWidth="1"/>
    <col min="13616" max="13616" width="10.5703125" style="2" customWidth="1"/>
    <col min="13617" max="13617" width="9.7109375" style="2" customWidth="1"/>
    <col min="13618" max="13618" width="9.5703125" style="2" customWidth="1"/>
    <col min="13619" max="13619" width="10.5703125" style="2" customWidth="1"/>
    <col min="13620" max="13620" width="10.42578125" style="2" customWidth="1"/>
    <col min="13621" max="13621" width="9.85546875" style="2" customWidth="1"/>
    <col min="13622" max="13622" width="10.5703125" style="2" bestFit="1" customWidth="1"/>
    <col min="13623" max="13625" width="10.140625" style="2" bestFit="1" customWidth="1"/>
    <col min="13626" max="13626" width="8.85546875" style="2" customWidth="1"/>
    <col min="13627" max="13627" width="9.140625" style="2" bestFit="1" customWidth="1"/>
    <col min="13628" max="13629" width="10.140625" style="2" customWidth="1"/>
    <col min="13630" max="13630" width="10" style="2" customWidth="1"/>
    <col min="13631" max="13631" width="8.28515625" style="2" customWidth="1"/>
    <col min="13632" max="13632" width="9" style="2" customWidth="1"/>
    <col min="13633" max="13633" width="10.5703125" style="2" customWidth="1"/>
    <col min="13634" max="13634" width="10.140625" style="2" customWidth="1"/>
    <col min="13635" max="13635" width="9.7109375" style="2" customWidth="1"/>
    <col min="13636" max="13636" width="9.140625" style="2" customWidth="1"/>
    <col min="13637" max="13637" width="10.140625" style="2" customWidth="1"/>
    <col min="13638" max="13638" width="9" style="2" customWidth="1"/>
    <col min="13639" max="13639" width="9.28515625" style="2" customWidth="1"/>
    <col min="13640" max="13640" width="11" style="2" customWidth="1"/>
    <col min="13641" max="13641" width="10.140625" style="2" customWidth="1"/>
    <col min="13642" max="13642" width="10.7109375" style="2" customWidth="1"/>
    <col min="13643" max="13643" width="9.85546875" style="2" customWidth="1"/>
    <col min="13644" max="13644" width="11" style="2" customWidth="1"/>
    <col min="13645" max="13645" width="10" style="2" customWidth="1"/>
    <col min="13646" max="13646" width="9.140625" style="2" customWidth="1"/>
    <col min="13647" max="13647" width="10.28515625" style="2" customWidth="1"/>
    <col min="13648" max="13648" width="10.5703125" style="2" customWidth="1"/>
    <col min="13649" max="13649" width="9.85546875" style="2" customWidth="1"/>
    <col min="13650" max="13650" width="10.7109375" style="2" customWidth="1"/>
    <col min="13651" max="13651" width="9.42578125" style="2" customWidth="1"/>
    <col min="13652" max="13652" width="10.42578125" style="2" customWidth="1"/>
    <col min="13653" max="13653" width="9.85546875" style="2" customWidth="1"/>
    <col min="13654" max="13654" width="10.7109375" style="2" customWidth="1"/>
    <col min="13655" max="13655" width="10.140625" style="2" customWidth="1"/>
    <col min="13656" max="13656" width="10.28515625" style="2" customWidth="1"/>
    <col min="13657" max="13657" width="9" style="2" customWidth="1"/>
    <col min="13658" max="13658" width="11.140625" style="2" customWidth="1"/>
    <col min="13659" max="13659" width="10.28515625" style="2" customWidth="1"/>
    <col min="13660" max="13660" width="9.42578125" style="2" customWidth="1"/>
    <col min="13661" max="13661" width="10.42578125" style="2" customWidth="1"/>
    <col min="13662" max="13662" width="9.42578125" style="2" customWidth="1"/>
    <col min="13663" max="13663" width="9" style="2" customWidth="1"/>
    <col min="13664" max="13664" width="10.28515625" style="2" customWidth="1"/>
    <col min="13665" max="13665" width="8.42578125" style="2" customWidth="1"/>
    <col min="13666" max="13666" width="9.7109375" style="2" customWidth="1"/>
    <col min="13667" max="13667" width="8.7109375" style="2" customWidth="1"/>
    <col min="13668" max="13668" width="9.42578125" style="2" customWidth="1"/>
    <col min="13669" max="13669" width="10.85546875" style="2" customWidth="1"/>
    <col min="13670" max="13670" width="9.7109375" style="2" customWidth="1"/>
    <col min="13671" max="13671" width="11.42578125" style="2" customWidth="1"/>
    <col min="13672" max="13672" width="11" style="2" customWidth="1"/>
    <col min="13673" max="13673" width="9.42578125" style="2" customWidth="1"/>
    <col min="13674" max="13674" width="10.28515625" style="2" customWidth="1"/>
    <col min="13675" max="13675" width="10.42578125" style="2" customWidth="1"/>
    <col min="13676" max="13676" width="10.28515625" style="2" customWidth="1"/>
    <col min="13677" max="13678" width="9.140625" style="2" bestFit="1" customWidth="1"/>
    <col min="13679" max="13679" width="10" style="2" customWidth="1"/>
    <col min="13680" max="13680" width="9.140625" style="2" customWidth="1"/>
    <col min="13681" max="13681" width="9.85546875" style="2" customWidth="1"/>
    <col min="13682" max="13682" width="9.5703125" style="2" customWidth="1"/>
    <col min="13683" max="13683" width="10.85546875" style="2" customWidth="1"/>
    <col min="13684" max="13684" width="10.5703125" style="2" customWidth="1"/>
    <col min="13685" max="13685" width="10.28515625" style="2" customWidth="1"/>
    <col min="13686" max="13686" width="9.5703125" style="2" customWidth="1"/>
    <col min="13687" max="13687" width="9.28515625" style="2" customWidth="1"/>
    <col min="13688" max="13688" width="10.28515625" style="2" customWidth="1"/>
    <col min="13689" max="13689" width="10" style="2" customWidth="1"/>
    <col min="13690" max="13690" width="9" style="2" customWidth="1"/>
    <col min="13691" max="13691" width="10.42578125" style="2" customWidth="1"/>
    <col min="13692" max="13693" width="9.85546875" style="2" customWidth="1"/>
    <col min="13694" max="13694" width="10" style="2" customWidth="1"/>
    <col min="13695" max="13695" width="8.28515625" style="2" customWidth="1"/>
    <col min="13696" max="13696" width="9.85546875" style="2" customWidth="1"/>
    <col min="13697" max="13697" width="11.5703125" style="2" customWidth="1"/>
    <col min="13698" max="13698" width="9.140625" style="2" bestFit="1" customWidth="1"/>
    <col min="13699" max="13699" width="10" style="2" customWidth="1"/>
    <col min="13700" max="13700" width="8" style="2" customWidth="1"/>
    <col min="13701" max="13701" width="11.28515625" style="2" customWidth="1"/>
    <col min="13702" max="13704" width="10.140625" style="2" bestFit="1" customWidth="1"/>
    <col min="13705" max="13705" width="12.28515625" style="2" customWidth="1"/>
    <col min="13706" max="13707" width="5.7109375" style="2"/>
    <col min="13708" max="13708" width="10.28515625" style="2" bestFit="1" customWidth="1"/>
    <col min="13709" max="13714" width="5.7109375" style="2"/>
    <col min="13715" max="13715" width="22" style="2" customWidth="1"/>
    <col min="13716" max="13716" width="16" style="2" customWidth="1"/>
    <col min="13717" max="13717" width="7.140625" style="2" bestFit="1" customWidth="1"/>
    <col min="13718" max="13718" width="9.28515625" style="2" bestFit="1" customWidth="1"/>
    <col min="13719" max="13779" width="5.7109375" style="2"/>
    <col min="13780" max="13780" width="29.42578125" style="2" customWidth="1"/>
    <col min="13781" max="13781" width="4.7109375" style="2" customWidth="1"/>
    <col min="13782" max="13783" width="9.7109375" style="2" customWidth="1"/>
    <col min="13784" max="13784" width="9.42578125" style="2" customWidth="1"/>
    <col min="13785" max="13785" width="9.140625" style="2" customWidth="1"/>
    <col min="13786" max="13786" width="8.85546875" style="2" customWidth="1"/>
    <col min="13787" max="13787" width="9.7109375" style="2" customWidth="1"/>
    <col min="13788" max="13788" width="8.140625" style="2" customWidth="1"/>
    <col min="13789" max="13789" width="10.42578125" style="2" customWidth="1"/>
    <col min="13790" max="13790" width="9.140625" style="2" customWidth="1"/>
    <col min="13791" max="13791" width="9.85546875" style="2" customWidth="1"/>
    <col min="13792" max="13792" width="9.42578125" style="2" customWidth="1"/>
    <col min="13793" max="13793" width="9.5703125" style="2" customWidth="1"/>
    <col min="13794" max="13794" width="9.28515625" style="2" customWidth="1"/>
    <col min="13795" max="13795" width="9.140625" style="2" customWidth="1"/>
    <col min="13796" max="13796" width="9.28515625" style="2" bestFit="1" customWidth="1"/>
    <col min="13797" max="13797" width="10.5703125" style="2" customWidth="1"/>
    <col min="13798" max="13798" width="7.7109375" style="2" customWidth="1"/>
    <col min="13799" max="13799" width="9.140625" style="2" customWidth="1"/>
    <col min="13800" max="13800" width="7.85546875" style="2" customWidth="1"/>
    <col min="13801" max="13801" width="8.7109375" style="2" customWidth="1"/>
    <col min="13802" max="13802" width="9.42578125" style="2" customWidth="1"/>
    <col min="13803" max="13803" width="10.28515625" style="2" customWidth="1"/>
    <col min="13804" max="13804" width="9.85546875" style="2" customWidth="1"/>
    <col min="13805" max="13805" width="10.140625" style="2" customWidth="1"/>
    <col min="13806" max="13807" width="8.140625" style="2" customWidth="1"/>
    <col min="13808" max="13809" width="7.85546875" style="2" customWidth="1"/>
    <col min="13810" max="13810" width="9.140625" style="2" customWidth="1"/>
    <col min="13811" max="13811" width="9.7109375" style="2" customWidth="1"/>
    <col min="13812" max="13812" width="8.28515625" style="2" customWidth="1"/>
    <col min="13813" max="13813" width="9.140625" style="2" customWidth="1"/>
    <col min="13814" max="13814" width="10" style="2" customWidth="1"/>
    <col min="13815" max="13815" width="10.28515625" style="2" customWidth="1"/>
    <col min="13816" max="13816" width="9.85546875" style="2" customWidth="1"/>
    <col min="13817" max="13817" width="9.42578125" style="2" customWidth="1"/>
    <col min="13818" max="13818" width="9.7109375" style="2" customWidth="1"/>
    <col min="13819" max="13819" width="9.42578125" style="2" customWidth="1"/>
    <col min="13820" max="13820" width="9.28515625" style="2" customWidth="1"/>
    <col min="13821" max="13821" width="10.5703125" style="2" customWidth="1"/>
    <col min="13822" max="13823" width="8.85546875" style="2" customWidth="1"/>
    <col min="13824" max="13824" width="8.28515625" style="2" customWidth="1"/>
    <col min="13825" max="13825" width="8.85546875" style="2" customWidth="1"/>
    <col min="13826" max="13826" width="9.5703125" style="2" customWidth="1"/>
    <col min="13827" max="13827" width="8.42578125" style="2" customWidth="1"/>
    <col min="13828" max="13828" width="9.5703125" style="2" customWidth="1"/>
    <col min="13829" max="13829" width="8.28515625" style="2" customWidth="1"/>
    <col min="13830" max="13830" width="9.28515625" style="2" customWidth="1"/>
    <col min="13831" max="13831" width="9.85546875" style="2" customWidth="1"/>
    <col min="13832" max="13832" width="10.28515625" style="2" customWidth="1"/>
    <col min="13833" max="13833" width="10.42578125" style="2" customWidth="1"/>
    <col min="13834" max="13834" width="9.5703125" style="2" customWidth="1"/>
    <col min="13835" max="13835" width="10.140625" style="2" customWidth="1"/>
    <col min="13836" max="13836" width="9.5703125" style="2" customWidth="1"/>
    <col min="13837" max="13837" width="10.28515625" style="2" customWidth="1"/>
    <col min="13838" max="13838" width="10" style="2" customWidth="1"/>
    <col min="13839" max="13839" width="9.140625" style="2" customWidth="1"/>
    <col min="13840" max="13840" width="10.5703125" style="2" customWidth="1"/>
    <col min="13841" max="13841" width="9.28515625" style="2" customWidth="1"/>
    <col min="13842" max="13843" width="9.42578125" style="2" customWidth="1"/>
    <col min="13844" max="13844" width="9" style="2" customWidth="1"/>
    <col min="13845" max="13845" width="11" style="2" customWidth="1"/>
    <col min="13846" max="13846" width="9.28515625" style="2" customWidth="1"/>
    <col min="13847" max="13847" width="9.7109375" style="2" customWidth="1"/>
    <col min="13848" max="13848" width="10.85546875" style="2" customWidth="1"/>
    <col min="13849" max="13849" width="10.5703125" style="2" customWidth="1"/>
    <col min="13850" max="13850" width="10.28515625" style="2" customWidth="1"/>
    <col min="13851" max="13851" width="9.85546875" style="2" customWidth="1"/>
    <col min="13852" max="13852" width="10.28515625" style="2" customWidth="1"/>
    <col min="13853" max="13853" width="9" style="2" customWidth="1"/>
    <col min="13854" max="13854" width="9.85546875" style="2" customWidth="1"/>
    <col min="13855" max="13855" width="9.42578125" style="2" customWidth="1"/>
    <col min="13856" max="13856" width="9.140625" style="2" customWidth="1"/>
    <col min="13857" max="13857" width="11" style="2" customWidth="1"/>
    <col min="13858" max="13858" width="9.28515625" style="2" customWidth="1"/>
    <col min="13859" max="13859" width="9.5703125" style="2" customWidth="1"/>
    <col min="13860" max="13860" width="10.42578125" style="2" customWidth="1"/>
    <col min="13861" max="13861" width="9" style="2" customWidth="1"/>
    <col min="13862" max="13862" width="9.7109375" style="2" customWidth="1"/>
    <col min="13863" max="13863" width="10" style="2" customWidth="1"/>
    <col min="13864" max="13864" width="10.7109375" style="2" customWidth="1"/>
    <col min="13865" max="13865" width="9.42578125" style="2" customWidth="1"/>
    <col min="13866" max="13866" width="10.28515625" style="2" customWidth="1"/>
    <col min="13867" max="13867" width="9.5703125" style="2" customWidth="1"/>
    <col min="13868" max="13868" width="10" style="2" customWidth="1"/>
    <col min="13869" max="13869" width="9" style="2" customWidth="1"/>
    <col min="13870" max="13870" width="10.5703125" style="2" customWidth="1"/>
    <col min="13871" max="13871" width="11.28515625" style="2" customWidth="1"/>
    <col min="13872" max="13872" width="10.5703125" style="2" customWidth="1"/>
    <col min="13873" max="13873" width="9.7109375" style="2" customWidth="1"/>
    <col min="13874" max="13874" width="9.5703125" style="2" customWidth="1"/>
    <col min="13875" max="13875" width="10.5703125" style="2" customWidth="1"/>
    <col min="13876" max="13876" width="10.42578125" style="2" customWidth="1"/>
    <col min="13877" max="13877" width="9.85546875" style="2" customWidth="1"/>
    <col min="13878" max="13878" width="10.5703125" style="2" bestFit="1" customWidth="1"/>
    <col min="13879" max="13881" width="10.140625" style="2" bestFit="1" customWidth="1"/>
    <col min="13882" max="13882" width="8.85546875" style="2" customWidth="1"/>
    <col min="13883" max="13883" width="9.140625" style="2" bestFit="1" customWidth="1"/>
    <col min="13884" max="13885" width="10.140625" style="2" customWidth="1"/>
    <col min="13886" max="13886" width="10" style="2" customWidth="1"/>
    <col min="13887" max="13887" width="8.28515625" style="2" customWidth="1"/>
    <col min="13888" max="13888" width="9" style="2" customWidth="1"/>
    <col min="13889" max="13889" width="10.5703125" style="2" customWidth="1"/>
    <col min="13890" max="13890" width="10.140625" style="2" customWidth="1"/>
    <col min="13891" max="13891" width="9.7109375" style="2" customWidth="1"/>
    <col min="13892" max="13892" width="9.140625" style="2" customWidth="1"/>
    <col min="13893" max="13893" width="10.140625" style="2" customWidth="1"/>
    <col min="13894" max="13894" width="9" style="2" customWidth="1"/>
    <col min="13895" max="13895" width="9.28515625" style="2" customWidth="1"/>
    <col min="13896" max="13896" width="11" style="2" customWidth="1"/>
    <col min="13897" max="13897" width="10.140625" style="2" customWidth="1"/>
    <col min="13898" max="13898" width="10.7109375" style="2" customWidth="1"/>
    <col min="13899" max="13899" width="9.85546875" style="2" customWidth="1"/>
    <col min="13900" max="13900" width="11" style="2" customWidth="1"/>
    <col min="13901" max="13901" width="10" style="2" customWidth="1"/>
    <col min="13902" max="13902" width="9.140625" style="2" customWidth="1"/>
    <col min="13903" max="13903" width="10.28515625" style="2" customWidth="1"/>
    <col min="13904" max="13904" width="10.5703125" style="2" customWidth="1"/>
    <col min="13905" max="13905" width="9.85546875" style="2" customWidth="1"/>
    <col min="13906" max="13906" width="10.7109375" style="2" customWidth="1"/>
    <col min="13907" max="13907" width="9.42578125" style="2" customWidth="1"/>
    <col min="13908" max="13908" width="10.42578125" style="2" customWidth="1"/>
    <col min="13909" max="13909" width="9.85546875" style="2" customWidth="1"/>
    <col min="13910" max="13910" width="10.7109375" style="2" customWidth="1"/>
    <col min="13911" max="13911" width="10.140625" style="2" customWidth="1"/>
    <col min="13912" max="13912" width="10.28515625" style="2" customWidth="1"/>
    <col min="13913" max="13913" width="9" style="2" customWidth="1"/>
    <col min="13914" max="13914" width="11.140625" style="2" customWidth="1"/>
    <col min="13915" max="13915" width="10.28515625" style="2" customWidth="1"/>
    <col min="13916" max="13916" width="9.42578125" style="2" customWidth="1"/>
    <col min="13917" max="13917" width="10.42578125" style="2" customWidth="1"/>
    <col min="13918" max="13918" width="9.42578125" style="2" customWidth="1"/>
    <col min="13919" max="13919" width="9" style="2" customWidth="1"/>
    <col min="13920" max="13920" width="10.28515625" style="2" customWidth="1"/>
    <col min="13921" max="13921" width="8.42578125" style="2" customWidth="1"/>
    <col min="13922" max="13922" width="9.7109375" style="2" customWidth="1"/>
    <col min="13923" max="13923" width="8.7109375" style="2" customWidth="1"/>
    <col min="13924" max="13924" width="9.42578125" style="2" customWidth="1"/>
    <col min="13925" max="13925" width="10.85546875" style="2" customWidth="1"/>
    <col min="13926" max="13926" width="9.7109375" style="2" customWidth="1"/>
    <col min="13927" max="13927" width="11.42578125" style="2" customWidth="1"/>
    <col min="13928" max="13928" width="11" style="2" customWidth="1"/>
    <col min="13929" max="13929" width="9.42578125" style="2" customWidth="1"/>
    <col min="13930" max="13930" width="10.28515625" style="2" customWidth="1"/>
    <col min="13931" max="13931" width="10.42578125" style="2" customWidth="1"/>
    <col min="13932" max="13932" width="10.28515625" style="2" customWidth="1"/>
    <col min="13933" max="13934" width="9.140625" style="2" bestFit="1" customWidth="1"/>
    <col min="13935" max="13935" width="10" style="2" customWidth="1"/>
    <col min="13936" max="13936" width="9.140625" style="2" customWidth="1"/>
    <col min="13937" max="13937" width="9.85546875" style="2" customWidth="1"/>
    <col min="13938" max="13938" width="9.5703125" style="2" customWidth="1"/>
    <col min="13939" max="13939" width="10.85546875" style="2" customWidth="1"/>
    <col min="13940" max="13940" width="10.5703125" style="2" customWidth="1"/>
    <col min="13941" max="13941" width="10.28515625" style="2" customWidth="1"/>
    <col min="13942" max="13942" width="9.5703125" style="2" customWidth="1"/>
    <col min="13943" max="13943" width="9.28515625" style="2" customWidth="1"/>
    <col min="13944" max="13944" width="10.28515625" style="2" customWidth="1"/>
    <col min="13945" max="13945" width="10" style="2" customWidth="1"/>
    <col min="13946" max="13946" width="9" style="2" customWidth="1"/>
    <col min="13947" max="13947" width="10.42578125" style="2" customWidth="1"/>
    <col min="13948" max="13949" width="9.85546875" style="2" customWidth="1"/>
    <col min="13950" max="13950" width="10" style="2" customWidth="1"/>
    <col min="13951" max="13951" width="8.28515625" style="2" customWidth="1"/>
    <col min="13952" max="13952" width="9.85546875" style="2" customWidth="1"/>
    <col min="13953" max="13953" width="11.5703125" style="2" customWidth="1"/>
    <col min="13954" max="13954" width="9.140625" style="2" bestFit="1" customWidth="1"/>
    <col min="13955" max="13955" width="10" style="2" customWidth="1"/>
    <col min="13956" max="13956" width="8" style="2" customWidth="1"/>
    <col min="13957" max="13957" width="11.28515625" style="2" customWidth="1"/>
    <col min="13958" max="13960" width="10.140625" style="2" bestFit="1" customWidth="1"/>
    <col min="13961" max="13961" width="12.28515625" style="2" customWidth="1"/>
    <col min="13962" max="13963" width="5.7109375" style="2"/>
    <col min="13964" max="13964" width="10.28515625" style="2" bestFit="1" customWidth="1"/>
    <col min="13965" max="13970" width="5.7109375" style="2"/>
    <col min="13971" max="13971" width="22" style="2" customWidth="1"/>
    <col min="13972" max="13972" width="16" style="2" customWidth="1"/>
    <col min="13973" max="13973" width="7.140625" style="2" bestFit="1" customWidth="1"/>
    <col min="13974" max="13974" width="9.28515625" style="2" bestFit="1" customWidth="1"/>
    <col min="13975" max="14035" width="5.7109375" style="2"/>
    <col min="14036" max="14036" width="29.42578125" style="2" customWidth="1"/>
    <col min="14037" max="14037" width="4.7109375" style="2" customWidth="1"/>
    <col min="14038" max="14039" width="9.7109375" style="2" customWidth="1"/>
    <col min="14040" max="14040" width="9.42578125" style="2" customWidth="1"/>
    <col min="14041" max="14041" width="9.140625" style="2" customWidth="1"/>
    <col min="14042" max="14042" width="8.85546875" style="2" customWidth="1"/>
    <col min="14043" max="14043" width="9.7109375" style="2" customWidth="1"/>
    <col min="14044" max="14044" width="8.140625" style="2" customWidth="1"/>
    <col min="14045" max="14045" width="10.42578125" style="2" customWidth="1"/>
    <col min="14046" max="14046" width="9.140625" style="2" customWidth="1"/>
    <col min="14047" max="14047" width="9.85546875" style="2" customWidth="1"/>
    <col min="14048" max="14048" width="9.42578125" style="2" customWidth="1"/>
    <col min="14049" max="14049" width="9.5703125" style="2" customWidth="1"/>
    <col min="14050" max="14050" width="9.28515625" style="2" customWidth="1"/>
    <col min="14051" max="14051" width="9.140625" style="2" customWidth="1"/>
    <col min="14052" max="14052" width="9.28515625" style="2" bestFit="1" customWidth="1"/>
    <col min="14053" max="14053" width="10.5703125" style="2" customWidth="1"/>
    <col min="14054" max="14054" width="7.7109375" style="2" customWidth="1"/>
    <col min="14055" max="14055" width="9.140625" style="2" customWidth="1"/>
    <col min="14056" max="14056" width="7.85546875" style="2" customWidth="1"/>
    <col min="14057" max="14057" width="8.7109375" style="2" customWidth="1"/>
    <col min="14058" max="14058" width="9.42578125" style="2" customWidth="1"/>
    <col min="14059" max="14059" width="10.28515625" style="2" customWidth="1"/>
    <col min="14060" max="14060" width="9.85546875" style="2" customWidth="1"/>
    <col min="14061" max="14061" width="10.140625" style="2" customWidth="1"/>
    <col min="14062" max="14063" width="8.140625" style="2" customWidth="1"/>
    <col min="14064" max="14065" width="7.85546875" style="2" customWidth="1"/>
    <col min="14066" max="14066" width="9.140625" style="2" customWidth="1"/>
    <col min="14067" max="14067" width="9.7109375" style="2" customWidth="1"/>
    <col min="14068" max="14068" width="8.28515625" style="2" customWidth="1"/>
    <col min="14069" max="14069" width="9.140625" style="2" customWidth="1"/>
    <col min="14070" max="14070" width="10" style="2" customWidth="1"/>
    <col min="14071" max="14071" width="10.28515625" style="2" customWidth="1"/>
    <col min="14072" max="14072" width="9.85546875" style="2" customWidth="1"/>
    <col min="14073" max="14073" width="9.42578125" style="2" customWidth="1"/>
    <col min="14074" max="14074" width="9.7109375" style="2" customWidth="1"/>
    <col min="14075" max="14075" width="9.42578125" style="2" customWidth="1"/>
    <col min="14076" max="14076" width="9.28515625" style="2" customWidth="1"/>
    <col min="14077" max="14077" width="10.5703125" style="2" customWidth="1"/>
    <col min="14078" max="14079" width="8.85546875" style="2" customWidth="1"/>
    <col min="14080" max="14080" width="8.28515625" style="2" customWidth="1"/>
    <col min="14081" max="14081" width="8.85546875" style="2" customWidth="1"/>
    <col min="14082" max="14082" width="9.5703125" style="2" customWidth="1"/>
    <col min="14083" max="14083" width="8.42578125" style="2" customWidth="1"/>
    <col min="14084" max="14084" width="9.5703125" style="2" customWidth="1"/>
    <col min="14085" max="14085" width="8.28515625" style="2" customWidth="1"/>
    <col min="14086" max="14086" width="9.28515625" style="2" customWidth="1"/>
    <col min="14087" max="14087" width="9.85546875" style="2" customWidth="1"/>
    <col min="14088" max="14088" width="10.28515625" style="2" customWidth="1"/>
    <col min="14089" max="14089" width="10.42578125" style="2" customWidth="1"/>
    <col min="14090" max="14090" width="9.5703125" style="2" customWidth="1"/>
    <col min="14091" max="14091" width="10.140625" style="2" customWidth="1"/>
    <col min="14092" max="14092" width="9.5703125" style="2" customWidth="1"/>
    <col min="14093" max="14093" width="10.28515625" style="2" customWidth="1"/>
    <col min="14094" max="14094" width="10" style="2" customWidth="1"/>
    <col min="14095" max="14095" width="9.140625" style="2" customWidth="1"/>
    <col min="14096" max="14096" width="10.5703125" style="2" customWidth="1"/>
    <col min="14097" max="14097" width="9.28515625" style="2" customWidth="1"/>
    <col min="14098" max="14099" width="9.42578125" style="2" customWidth="1"/>
    <col min="14100" max="14100" width="9" style="2" customWidth="1"/>
    <col min="14101" max="14101" width="11" style="2" customWidth="1"/>
    <col min="14102" max="14102" width="9.28515625" style="2" customWidth="1"/>
    <col min="14103" max="14103" width="9.7109375" style="2" customWidth="1"/>
    <col min="14104" max="14104" width="10.85546875" style="2" customWidth="1"/>
    <col min="14105" max="14105" width="10.5703125" style="2" customWidth="1"/>
    <col min="14106" max="14106" width="10.28515625" style="2" customWidth="1"/>
    <col min="14107" max="14107" width="9.85546875" style="2" customWidth="1"/>
    <col min="14108" max="14108" width="10.28515625" style="2" customWidth="1"/>
    <col min="14109" max="14109" width="9" style="2" customWidth="1"/>
    <col min="14110" max="14110" width="9.85546875" style="2" customWidth="1"/>
    <col min="14111" max="14111" width="9.42578125" style="2" customWidth="1"/>
    <col min="14112" max="14112" width="9.140625" style="2" customWidth="1"/>
    <col min="14113" max="14113" width="11" style="2" customWidth="1"/>
    <col min="14114" max="14114" width="9.28515625" style="2" customWidth="1"/>
    <col min="14115" max="14115" width="9.5703125" style="2" customWidth="1"/>
    <col min="14116" max="14116" width="10.42578125" style="2" customWidth="1"/>
    <col min="14117" max="14117" width="9" style="2" customWidth="1"/>
    <col min="14118" max="14118" width="9.7109375" style="2" customWidth="1"/>
    <col min="14119" max="14119" width="10" style="2" customWidth="1"/>
    <col min="14120" max="14120" width="10.7109375" style="2" customWidth="1"/>
    <col min="14121" max="14121" width="9.42578125" style="2" customWidth="1"/>
    <col min="14122" max="14122" width="10.28515625" style="2" customWidth="1"/>
    <col min="14123" max="14123" width="9.5703125" style="2" customWidth="1"/>
    <col min="14124" max="14124" width="10" style="2" customWidth="1"/>
    <col min="14125" max="14125" width="9" style="2" customWidth="1"/>
    <col min="14126" max="14126" width="10.5703125" style="2" customWidth="1"/>
    <col min="14127" max="14127" width="11.28515625" style="2" customWidth="1"/>
    <col min="14128" max="14128" width="10.5703125" style="2" customWidth="1"/>
    <col min="14129" max="14129" width="9.7109375" style="2" customWidth="1"/>
    <col min="14130" max="14130" width="9.5703125" style="2" customWidth="1"/>
    <col min="14131" max="14131" width="10.5703125" style="2" customWidth="1"/>
    <col min="14132" max="14132" width="10.42578125" style="2" customWidth="1"/>
    <col min="14133" max="14133" width="9.85546875" style="2" customWidth="1"/>
    <col min="14134" max="14134" width="10.5703125" style="2" bestFit="1" customWidth="1"/>
    <col min="14135" max="14137" width="10.140625" style="2" bestFit="1" customWidth="1"/>
    <col min="14138" max="14138" width="8.85546875" style="2" customWidth="1"/>
    <col min="14139" max="14139" width="9.140625" style="2" bestFit="1" customWidth="1"/>
    <col min="14140" max="14141" width="10.140625" style="2" customWidth="1"/>
    <col min="14142" max="14142" width="10" style="2" customWidth="1"/>
    <col min="14143" max="14143" width="8.28515625" style="2" customWidth="1"/>
    <col min="14144" max="14144" width="9" style="2" customWidth="1"/>
    <col min="14145" max="14145" width="10.5703125" style="2" customWidth="1"/>
    <col min="14146" max="14146" width="10.140625" style="2" customWidth="1"/>
    <col min="14147" max="14147" width="9.7109375" style="2" customWidth="1"/>
    <col min="14148" max="14148" width="9.140625" style="2" customWidth="1"/>
    <col min="14149" max="14149" width="10.140625" style="2" customWidth="1"/>
    <col min="14150" max="14150" width="9" style="2" customWidth="1"/>
    <col min="14151" max="14151" width="9.28515625" style="2" customWidth="1"/>
    <col min="14152" max="14152" width="11" style="2" customWidth="1"/>
    <col min="14153" max="14153" width="10.140625" style="2" customWidth="1"/>
    <col min="14154" max="14154" width="10.7109375" style="2" customWidth="1"/>
    <col min="14155" max="14155" width="9.85546875" style="2" customWidth="1"/>
    <col min="14156" max="14156" width="11" style="2" customWidth="1"/>
    <col min="14157" max="14157" width="10" style="2" customWidth="1"/>
    <col min="14158" max="14158" width="9.140625" style="2" customWidth="1"/>
    <col min="14159" max="14159" width="10.28515625" style="2" customWidth="1"/>
    <col min="14160" max="14160" width="10.5703125" style="2" customWidth="1"/>
    <col min="14161" max="14161" width="9.85546875" style="2" customWidth="1"/>
    <col min="14162" max="14162" width="10.7109375" style="2" customWidth="1"/>
    <col min="14163" max="14163" width="9.42578125" style="2" customWidth="1"/>
    <col min="14164" max="14164" width="10.42578125" style="2" customWidth="1"/>
    <col min="14165" max="14165" width="9.85546875" style="2" customWidth="1"/>
    <col min="14166" max="14166" width="10.7109375" style="2" customWidth="1"/>
    <col min="14167" max="14167" width="10.140625" style="2" customWidth="1"/>
    <col min="14168" max="14168" width="10.28515625" style="2" customWidth="1"/>
    <col min="14169" max="14169" width="9" style="2" customWidth="1"/>
    <col min="14170" max="14170" width="11.140625" style="2" customWidth="1"/>
    <col min="14171" max="14171" width="10.28515625" style="2" customWidth="1"/>
    <col min="14172" max="14172" width="9.42578125" style="2" customWidth="1"/>
    <col min="14173" max="14173" width="10.42578125" style="2" customWidth="1"/>
    <col min="14174" max="14174" width="9.42578125" style="2" customWidth="1"/>
    <col min="14175" max="14175" width="9" style="2" customWidth="1"/>
    <col min="14176" max="14176" width="10.28515625" style="2" customWidth="1"/>
    <col min="14177" max="14177" width="8.42578125" style="2" customWidth="1"/>
    <col min="14178" max="14178" width="9.7109375" style="2" customWidth="1"/>
    <col min="14179" max="14179" width="8.7109375" style="2" customWidth="1"/>
    <col min="14180" max="14180" width="9.42578125" style="2" customWidth="1"/>
    <col min="14181" max="14181" width="10.85546875" style="2" customWidth="1"/>
    <col min="14182" max="14182" width="9.7109375" style="2" customWidth="1"/>
    <col min="14183" max="14183" width="11.42578125" style="2" customWidth="1"/>
    <col min="14184" max="14184" width="11" style="2" customWidth="1"/>
    <col min="14185" max="14185" width="9.42578125" style="2" customWidth="1"/>
    <col min="14186" max="14186" width="10.28515625" style="2" customWidth="1"/>
    <col min="14187" max="14187" width="10.42578125" style="2" customWidth="1"/>
    <col min="14188" max="14188" width="10.28515625" style="2" customWidth="1"/>
    <col min="14189" max="14190" width="9.140625" style="2" bestFit="1" customWidth="1"/>
    <col min="14191" max="14191" width="10" style="2" customWidth="1"/>
    <col min="14192" max="14192" width="9.140625" style="2" customWidth="1"/>
    <col min="14193" max="14193" width="9.85546875" style="2" customWidth="1"/>
    <col min="14194" max="14194" width="9.5703125" style="2" customWidth="1"/>
    <col min="14195" max="14195" width="10.85546875" style="2" customWidth="1"/>
    <col min="14196" max="14196" width="10.5703125" style="2" customWidth="1"/>
    <col min="14197" max="14197" width="10.28515625" style="2" customWidth="1"/>
    <col min="14198" max="14198" width="9.5703125" style="2" customWidth="1"/>
    <col min="14199" max="14199" width="9.28515625" style="2" customWidth="1"/>
    <col min="14200" max="14200" width="10.28515625" style="2" customWidth="1"/>
    <col min="14201" max="14201" width="10" style="2" customWidth="1"/>
    <col min="14202" max="14202" width="9" style="2" customWidth="1"/>
    <col min="14203" max="14203" width="10.42578125" style="2" customWidth="1"/>
    <col min="14204" max="14205" width="9.85546875" style="2" customWidth="1"/>
    <col min="14206" max="14206" width="10" style="2" customWidth="1"/>
    <col min="14207" max="14207" width="8.28515625" style="2" customWidth="1"/>
    <col min="14208" max="14208" width="9.85546875" style="2" customWidth="1"/>
    <col min="14209" max="14209" width="11.5703125" style="2" customWidth="1"/>
    <col min="14210" max="14210" width="9.140625" style="2" bestFit="1" customWidth="1"/>
    <col min="14211" max="14211" width="10" style="2" customWidth="1"/>
    <col min="14212" max="14212" width="8" style="2" customWidth="1"/>
    <col min="14213" max="14213" width="11.28515625" style="2" customWidth="1"/>
    <col min="14214" max="14216" width="10.140625" style="2" bestFit="1" customWidth="1"/>
    <col min="14217" max="14217" width="12.28515625" style="2" customWidth="1"/>
    <col min="14218" max="14219" width="5.7109375" style="2"/>
    <col min="14220" max="14220" width="10.28515625" style="2" bestFit="1" customWidth="1"/>
    <col min="14221" max="14226" width="5.7109375" style="2"/>
    <col min="14227" max="14227" width="22" style="2" customWidth="1"/>
    <col min="14228" max="14228" width="16" style="2" customWidth="1"/>
    <col min="14229" max="14229" width="7.140625" style="2" bestFit="1" customWidth="1"/>
    <col min="14230" max="14230" width="9.28515625" style="2" bestFit="1" customWidth="1"/>
    <col min="14231" max="14291" width="5.7109375" style="2"/>
    <col min="14292" max="14292" width="29.42578125" style="2" customWidth="1"/>
    <col min="14293" max="14293" width="4.7109375" style="2" customWidth="1"/>
    <col min="14294" max="14295" width="9.7109375" style="2" customWidth="1"/>
    <col min="14296" max="14296" width="9.42578125" style="2" customWidth="1"/>
    <col min="14297" max="14297" width="9.140625" style="2" customWidth="1"/>
    <col min="14298" max="14298" width="8.85546875" style="2" customWidth="1"/>
    <col min="14299" max="14299" width="9.7109375" style="2" customWidth="1"/>
    <col min="14300" max="14300" width="8.140625" style="2" customWidth="1"/>
    <col min="14301" max="14301" width="10.42578125" style="2" customWidth="1"/>
    <col min="14302" max="14302" width="9.140625" style="2" customWidth="1"/>
    <col min="14303" max="14303" width="9.85546875" style="2" customWidth="1"/>
    <col min="14304" max="14304" width="9.42578125" style="2" customWidth="1"/>
    <col min="14305" max="14305" width="9.5703125" style="2" customWidth="1"/>
    <col min="14306" max="14306" width="9.28515625" style="2" customWidth="1"/>
    <col min="14307" max="14307" width="9.140625" style="2" customWidth="1"/>
    <col min="14308" max="14308" width="9.28515625" style="2" bestFit="1" customWidth="1"/>
    <col min="14309" max="14309" width="10.5703125" style="2" customWidth="1"/>
    <col min="14310" max="14310" width="7.7109375" style="2" customWidth="1"/>
    <col min="14311" max="14311" width="9.140625" style="2" customWidth="1"/>
    <col min="14312" max="14312" width="7.85546875" style="2" customWidth="1"/>
    <col min="14313" max="14313" width="8.7109375" style="2" customWidth="1"/>
    <col min="14314" max="14314" width="9.42578125" style="2" customWidth="1"/>
    <col min="14315" max="14315" width="10.28515625" style="2" customWidth="1"/>
    <col min="14316" max="14316" width="9.85546875" style="2" customWidth="1"/>
    <col min="14317" max="14317" width="10.140625" style="2" customWidth="1"/>
    <col min="14318" max="14319" width="8.140625" style="2" customWidth="1"/>
    <col min="14320" max="14321" width="7.85546875" style="2" customWidth="1"/>
    <col min="14322" max="14322" width="9.140625" style="2" customWidth="1"/>
    <col min="14323" max="14323" width="9.7109375" style="2" customWidth="1"/>
    <col min="14324" max="14324" width="8.28515625" style="2" customWidth="1"/>
    <col min="14325" max="14325" width="9.140625" style="2" customWidth="1"/>
    <col min="14326" max="14326" width="10" style="2" customWidth="1"/>
    <col min="14327" max="14327" width="10.28515625" style="2" customWidth="1"/>
    <col min="14328" max="14328" width="9.85546875" style="2" customWidth="1"/>
    <col min="14329" max="14329" width="9.42578125" style="2" customWidth="1"/>
    <col min="14330" max="14330" width="9.7109375" style="2" customWidth="1"/>
    <col min="14331" max="14331" width="9.42578125" style="2" customWidth="1"/>
    <col min="14332" max="14332" width="9.28515625" style="2" customWidth="1"/>
    <col min="14333" max="14333" width="10.5703125" style="2" customWidth="1"/>
    <col min="14334" max="14335" width="8.85546875" style="2" customWidth="1"/>
    <col min="14336" max="14336" width="8.28515625" style="2" customWidth="1"/>
    <col min="14337" max="14337" width="8.85546875" style="2" customWidth="1"/>
    <col min="14338" max="14338" width="9.5703125" style="2" customWidth="1"/>
    <col min="14339" max="14339" width="8.42578125" style="2" customWidth="1"/>
    <col min="14340" max="14340" width="9.5703125" style="2" customWidth="1"/>
    <col min="14341" max="14341" width="8.28515625" style="2" customWidth="1"/>
    <col min="14342" max="14342" width="9.28515625" style="2" customWidth="1"/>
    <col min="14343" max="14343" width="9.85546875" style="2" customWidth="1"/>
    <col min="14344" max="14344" width="10.28515625" style="2" customWidth="1"/>
    <col min="14345" max="14345" width="10.42578125" style="2" customWidth="1"/>
    <col min="14346" max="14346" width="9.5703125" style="2" customWidth="1"/>
    <col min="14347" max="14347" width="10.140625" style="2" customWidth="1"/>
    <col min="14348" max="14348" width="9.5703125" style="2" customWidth="1"/>
    <col min="14349" max="14349" width="10.28515625" style="2" customWidth="1"/>
    <col min="14350" max="14350" width="10" style="2" customWidth="1"/>
    <col min="14351" max="14351" width="9.140625" style="2" customWidth="1"/>
    <col min="14352" max="14352" width="10.5703125" style="2" customWidth="1"/>
    <col min="14353" max="14353" width="9.28515625" style="2" customWidth="1"/>
    <col min="14354" max="14355" width="9.42578125" style="2" customWidth="1"/>
    <col min="14356" max="14356" width="9" style="2" customWidth="1"/>
    <col min="14357" max="14357" width="11" style="2" customWidth="1"/>
    <col min="14358" max="14358" width="9.28515625" style="2" customWidth="1"/>
    <col min="14359" max="14359" width="9.7109375" style="2" customWidth="1"/>
    <col min="14360" max="14360" width="10.85546875" style="2" customWidth="1"/>
    <col min="14361" max="14361" width="10.5703125" style="2" customWidth="1"/>
    <col min="14362" max="14362" width="10.28515625" style="2" customWidth="1"/>
    <col min="14363" max="14363" width="9.85546875" style="2" customWidth="1"/>
    <col min="14364" max="14364" width="10.28515625" style="2" customWidth="1"/>
    <col min="14365" max="14365" width="9" style="2" customWidth="1"/>
    <col min="14366" max="14366" width="9.85546875" style="2" customWidth="1"/>
    <col min="14367" max="14367" width="9.42578125" style="2" customWidth="1"/>
    <col min="14368" max="14368" width="9.140625" style="2" customWidth="1"/>
    <col min="14369" max="14369" width="11" style="2" customWidth="1"/>
    <col min="14370" max="14370" width="9.28515625" style="2" customWidth="1"/>
    <col min="14371" max="14371" width="9.5703125" style="2" customWidth="1"/>
    <col min="14372" max="14372" width="10.42578125" style="2" customWidth="1"/>
    <col min="14373" max="14373" width="9" style="2" customWidth="1"/>
    <col min="14374" max="14374" width="9.7109375" style="2" customWidth="1"/>
    <col min="14375" max="14375" width="10" style="2" customWidth="1"/>
    <col min="14376" max="14376" width="10.7109375" style="2" customWidth="1"/>
    <col min="14377" max="14377" width="9.42578125" style="2" customWidth="1"/>
    <col min="14378" max="14378" width="10.28515625" style="2" customWidth="1"/>
    <col min="14379" max="14379" width="9.5703125" style="2" customWidth="1"/>
    <col min="14380" max="14380" width="10" style="2" customWidth="1"/>
    <col min="14381" max="14381" width="9" style="2" customWidth="1"/>
    <col min="14382" max="14382" width="10.5703125" style="2" customWidth="1"/>
    <col min="14383" max="14383" width="11.28515625" style="2" customWidth="1"/>
    <col min="14384" max="14384" width="10.5703125" style="2" customWidth="1"/>
    <col min="14385" max="14385" width="9.7109375" style="2" customWidth="1"/>
    <col min="14386" max="14386" width="9.5703125" style="2" customWidth="1"/>
    <col min="14387" max="14387" width="10.5703125" style="2" customWidth="1"/>
    <col min="14388" max="14388" width="10.42578125" style="2" customWidth="1"/>
    <col min="14389" max="14389" width="9.85546875" style="2" customWidth="1"/>
    <col min="14390" max="14390" width="10.5703125" style="2" bestFit="1" customWidth="1"/>
    <col min="14391" max="14393" width="10.140625" style="2" bestFit="1" customWidth="1"/>
    <col min="14394" max="14394" width="8.85546875" style="2" customWidth="1"/>
    <col min="14395" max="14395" width="9.140625" style="2" bestFit="1" customWidth="1"/>
    <col min="14396" max="14397" width="10.140625" style="2" customWidth="1"/>
    <col min="14398" max="14398" width="10" style="2" customWidth="1"/>
    <col min="14399" max="14399" width="8.28515625" style="2" customWidth="1"/>
    <col min="14400" max="14400" width="9" style="2" customWidth="1"/>
    <col min="14401" max="14401" width="10.5703125" style="2" customWidth="1"/>
    <col min="14402" max="14402" width="10.140625" style="2" customWidth="1"/>
    <col min="14403" max="14403" width="9.7109375" style="2" customWidth="1"/>
    <col min="14404" max="14404" width="9.140625" style="2" customWidth="1"/>
    <col min="14405" max="14405" width="10.140625" style="2" customWidth="1"/>
    <col min="14406" max="14406" width="9" style="2" customWidth="1"/>
    <col min="14407" max="14407" width="9.28515625" style="2" customWidth="1"/>
    <col min="14408" max="14408" width="11" style="2" customWidth="1"/>
    <col min="14409" max="14409" width="10.140625" style="2" customWidth="1"/>
    <col min="14410" max="14410" width="10.7109375" style="2" customWidth="1"/>
    <col min="14411" max="14411" width="9.85546875" style="2" customWidth="1"/>
    <col min="14412" max="14412" width="11" style="2" customWidth="1"/>
    <col min="14413" max="14413" width="10" style="2" customWidth="1"/>
    <col min="14414" max="14414" width="9.140625" style="2" customWidth="1"/>
    <col min="14415" max="14415" width="10.28515625" style="2" customWidth="1"/>
    <col min="14416" max="14416" width="10.5703125" style="2" customWidth="1"/>
    <col min="14417" max="14417" width="9.85546875" style="2" customWidth="1"/>
    <col min="14418" max="14418" width="10.7109375" style="2" customWidth="1"/>
    <col min="14419" max="14419" width="9.42578125" style="2" customWidth="1"/>
    <col min="14420" max="14420" width="10.42578125" style="2" customWidth="1"/>
    <col min="14421" max="14421" width="9.85546875" style="2" customWidth="1"/>
    <col min="14422" max="14422" width="10.7109375" style="2" customWidth="1"/>
    <col min="14423" max="14423" width="10.140625" style="2" customWidth="1"/>
    <col min="14424" max="14424" width="10.28515625" style="2" customWidth="1"/>
    <col min="14425" max="14425" width="9" style="2" customWidth="1"/>
    <col min="14426" max="14426" width="11.140625" style="2" customWidth="1"/>
    <col min="14427" max="14427" width="10.28515625" style="2" customWidth="1"/>
    <col min="14428" max="14428" width="9.42578125" style="2" customWidth="1"/>
    <col min="14429" max="14429" width="10.42578125" style="2" customWidth="1"/>
    <col min="14430" max="14430" width="9.42578125" style="2" customWidth="1"/>
    <col min="14431" max="14431" width="9" style="2" customWidth="1"/>
    <col min="14432" max="14432" width="10.28515625" style="2" customWidth="1"/>
    <col min="14433" max="14433" width="8.42578125" style="2" customWidth="1"/>
    <col min="14434" max="14434" width="9.7109375" style="2" customWidth="1"/>
    <col min="14435" max="14435" width="8.7109375" style="2" customWidth="1"/>
    <col min="14436" max="14436" width="9.42578125" style="2" customWidth="1"/>
    <col min="14437" max="14437" width="10.85546875" style="2" customWidth="1"/>
    <col min="14438" max="14438" width="9.7109375" style="2" customWidth="1"/>
    <col min="14439" max="14439" width="11.42578125" style="2" customWidth="1"/>
    <col min="14440" max="14440" width="11" style="2" customWidth="1"/>
    <col min="14441" max="14441" width="9.42578125" style="2" customWidth="1"/>
    <col min="14442" max="14442" width="10.28515625" style="2" customWidth="1"/>
    <col min="14443" max="14443" width="10.42578125" style="2" customWidth="1"/>
    <col min="14444" max="14444" width="10.28515625" style="2" customWidth="1"/>
    <col min="14445" max="14446" width="9.140625" style="2" bestFit="1" customWidth="1"/>
    <col min="14447" max="14447" width="10" style="2" customWidth="1"/>
    <col min="14448" max="14448" width="9.140625" style="2" customWidth="1"/>
    <col min="14449" max="14449" width="9.85546875" style="2" customWidth="1"/>
    <col min="14450" max="14450" width="9.5703125" style="2" customWidth="1"/>
    <col min="14451" max="14451" width="10.85546875" style="2" customWidth="1"/>
    <col min="14452" max="14452" width="10.5703125" style="2" customWidth="1"/>
    <col min="14453" max="14453" width="10.28515625" style="2" customWidth="1"/>
    <col min="14454" max="14454" width="9.5703125" style="2" customWidth="1"/>
    <col min="14455" max="14455" width="9.28515625" style="2" customWidth="1"/>
    <col min="14456" max="14456" width="10.28515625" style="2" customWidth="1"/>
    <col min="14457" max="14457" width="10" style="2" customWidth="1"/>
    <col min="14458" max="14458" width="9" style="2" customWidth="1"/>
    <col min="14459" max="14459" width="10.42578125" style="2" customWidth="1"/>
    <col min="14460" max="14461" width="9.85546875" style="2" customWidth="1"/>
    <col min="14462" max="14462" width="10" style="2" customWidth="1"/>
    <col min="14463" max="14463" width="8.28515625" style="2" customWidth="1"/>
    <col min="14464" max="14464" width="9.85546875" style="2" customWidth="1"/>
    <col min="14465" max="14465" width="11.5703125" style="2" customWidth="1"/>
    <col min="14466" max="14466" width="9.140625" style="2" bestFit="1" customWidth="1"/>
    <col min="14467" max="14467" width="10" style="2" customWidth="1"/>
    <col min="14468" max="14468" width="8" style="2" customWidth="1"/>
    <col min="14469" max="14469" width="11.28515625" style="2" customWidth="1"/>
    <col min="14470" max="14472" width="10.140625" style="2" bestFit="1" customWidth="1"/>
    <col min="14473" max="14473" width="12.28515625" style="2" customWidth="1"/>
    <col min="14474" max="14475" width="5.7109375" style="2"/>
    <col min="14476" max="14476" width="10.28515625" style="2" bestFit="1" customWidth="1"/>
    <col min="14477" max="14482" width="5.7109375" style="2"/>
    <col min="14483" max="14483" width="22" style="2" customWidth="1"/>
    <col min="14484" max="14484" width="16" style="2" customWidth="1"/>
    <col min="14485" max="14485" width="7.140625" style="2" bestFit="1" customWidth="1"/>
    <col min="14486" max="14486" width="9.28515625" style="2" bestFit="1" customWidth="1"/>
    <col min="14487" max="14547" width="5.7109375" style="2"/>
    <col min="14548" max="14548" width="29.42578125" style="2" customWidth="1"/>
    <col min="14549" max="14549" width="4.7109375" style="2" customWidth="1"/>
    <col min="14550" max="14551" width="9.7109375" style="2" customWidth="1"/>
    <col min="14552" max="14552" width="9.42578125" style="2" customWidth="1"/>
    <col min="14553" max="14553" width="9.140625" style="2" customWidth="1"/>
    <col min="14554" max="14554" width="8.85546875" style="2" customWidth="1"/>
    <col min="14555" max="14555" width="9.7109375" style="2" customWidth="1"/>
    <col min="14556" max="14556" width="8.140625" style="2" customWidth="1"/>
    <col min="14557" max="14557" width="10.42578125" style="2" customWidth="1"/>
    <col min="14558" max="14558" width="9.140625" style="2" customWidth="1"/>
    <col min="14559" max="14559" width="9.85546875" style="2" customWidth="1"/>
    <col min="14560" max="14560" width="9.42578125" style="2" customWidth="1"/>
    <col min="14561" max="14561" width="9.5703125" style="2" customWidth="1"/>
    <col min="14562" max="14562" width="9.28515625" style="2" customWidth="1"/>
    <col min="14563" max="14563" width="9.140625" style="2" customWidth="1"/>
    <col min="14564" max="14564" width="9.28515625" style="2" bestFit="1" customWidth="1"/>
    <col min="14565" max="14565" width="10.5703125" style="2" customWidth="1"/>
    <col min="14566" max="14566" width="7.7109375" style="2" customWidth="1"/>
    <col min="14567" max="14567" width="9.140625" style="2" customWidth="1"/>
    <col min="14568" max="14568" width="7.85546875" style="2" customWidth="1"/>
    <col min="14569" max="14569" width="8.7109375" style="2" customWidth="1"/>
    <col min="14570" max="14570" width="9.42578125" style="2" customWidth="1"/>
    <col min="14571" max="14571" width="10.28515625" style="2" customWidth="1"/>
    <col min="14572" max="14572" width="9.85546875" style="2" customWidth="1"/>
    <col min="14573" max="14573" width="10.140625" style="2" customWidth="1"/>
    <col min="14574" max="14575" width="8.140625" style="2" customWidth="1"/>
    <col min="14576" max="14577" width="7.85546875" style="2" customWidth="1"/>
    <col min="14578" max="14578" width="9.140625" style="2" customWidth="1"/>
    <col min="14579" max="14579" width="9.7109375" style="2" customWidth="1"/>
    <col min="14580" max="14580" width="8.28515625" style="2" customWidth="1"/>
    <col min="14581" max="14581" width="9.140625" style="2" customWidth="1"/>
    <col min="14582" max="14582" width="10" style="2" customWidth="1"/>
    <col min="14583" max="14583" width="10.28515625" style="2" customWidth="1"/>
    <col min="14584" max="14584" width="9.85546875" style="2" customWidth="1"/>
    <col min="14585" max="14585" width="9.42578125" style="2" customWidth="1"/>
    <col min="14586" max="14586" width="9.7109375" style="2" customWidth="1"/>
    <col min="14587" max="14587" width="9.42578125" style="2" customWidth="1"/>
    <col min="14588" max="14588" width="9.28515625" style="2" customWidth="1"/>
    <col min="14589" max="14589" width="10.5703125" style="2" customWidth="1"/>
    <col min="14590" max="14591" width="8.85546875" style="2" customWidth="1"/>
    <col min="14592" max="14592" width="8.28515625" style="2" customWidth="1"/>
    <col min="14593" max="14593" width="8.85546875" style="2" customWidth="1"/>
    <col min="14594" max="14594" width="9.5703125" style="2" customWidth="1"/>
    <col min="14595" max="14595" width="8.42578125" style="2" customWidth="1"/>
    <col min="14596" max="14596" width="9.5703125" style="2" customWidth="1"/>
    <col min="14597" max="14597" width="8.28515625" style="2" customWidth="1"/>
    <col min="14598" max="14598" width="9.28515625" style="2" customWidth="1"/>
    <col min="14599" max="14599" width="9.85546875" style="2" customWidth="1"/>
    <col min="14600" max="14600" width="10.28515625" style="2" customWidth="1"/>
    <col min="14601" max="14601" width="10.42578125" style="2" customWidth="1"/>
    <col min="14602" max="14602" width="9.5703125" style="2" customWidth="1"/>
    <col min="14603" max="14603" width="10.140625" style="2" customWidth="1"/>
    <col min="14604" max="14604" width="9.5703125" style="2" customWidth="1"/>
    <col min="14605" max="14605" width="10.28515625" style="2" customWidth="1"/>
    <col min="14606" max="14606" width="10" style="2" customWidth="1"/>
    <col min="14607" max="14607" width="9.140625" style="2" customWidth="1"/>
    <col min="14608" max="14608" width="10.5703125" style="2" customWidth="1"/>
    <col min="14609" max="14609" width="9.28515625" style="2" customWidth="1"/>
    <col min="14610" max="14611" width="9.42578125" style="2" customWidth="1"/>
    <col min="14612" max="14612" width="9" style="2" customWidth="1"/>
    <col min="14613" max="14613" width="11" style="2" customWidth="1"/>
    <col min="14614" max="14614" width="9.28515625" style="2" customWidth="1"/>
    <col min="14615" max="14615" width="9.7109375" style="2" customWidth="1"/>
    <col min="14616" max="14616" width="10.85546875" style="2" customWidth="1"/>
    <col min="14617" max="14617" width="10.5703125" style="2" customWidth="1"/>
    <col min="14618" max="14618" width="10.28515625" style="2" customWidth="1"/>
    <col min="14619" max="14619" width="9.85546875" style="2" customWidth="1"/>
    <col min="14620" max="14620" width="10.28515625" style="2" customWidth="1"/>
    <col min="14621" max="14621" width="9" style="2" customWidth="1"/>
    <col min="14622" max="14622" width="9.85546875" style="2" customWidth="1"/>
    <col min="14623" max="14623" width="9.42578125" style="2" customWidth="1"/>
    <col min="14624" max="14624" width="9.140625" style="2" customWidth="1"/>
    <col min="14625" max="14625" width="11" style="2" customWidth="1"/>
    <col min="14626" max="14626" width="9.28515625" style="2" customWidth="1"/>
    <col min="14627" max="14627" width="9.5703125" style="2" customWidth="1"/>
    <col min="14628" max="14628" width="10.42578125" style="2" customWidth="1"/>
    <col min="14629" max="14629" width="9" style="2" customWidth="1"/>
    <col min="14630" max="14630" width="9.7109375" style="2" customWidth="1"/>
    <col min="14631" max="14631" width="10" style="2" customWidth="1"/>
    <col min="14632" max="14632" width="10.7109375" style="2" customWidth="1"/>
    <col min="14633" max="14633" width="9.42578125" style="2" customWidth="1"/>
    <col min="14634" max="14634" width="10.28515625" style="2" customWidth="1"/>
    <col min="14635" max="14635" width="9.5703125" style="2" customWidth="1"/>
    <col min="14636" max="14636" width="10" style="2" customWidth="1"/>
    <col min="14637" max="14637" width="9" style="2" customWidth="1"/>
    <col min="14638" max="14638" width="10.5703125" style="2" customWidth="1"/>
    <col min="14639" max="14639" width="11.28515625" style="2" customWidth="1"/>
    <col min="14640" max="14640" width="10.5703125" style="2" customWidth="1"/>
    <col min="14641" max="14641" width="9.7109375" style="2" customWidth="1"/>
    <col min="14642" max="14642" width="9.5703125" style="2" customWidth="1"/>
    <col min="14643" max="14643" width="10.5703125" style="2" customWidth="1"/>
    <col min="14644" max="14644" width="10.42578125" style="2" customWidth="1"/>
    <col min="14645" max="14645" width="9.85546875" style="2" customWidth="1"/>
    <col min="14646" max="14646" width="10.5703125" style="2" bestFit="1" customWidth="1"/>
    <col min="14647" max="14649" width="10.140625" style="2" bestFit="1" customWidth="1"/>
    <col min="14650" max="14650" width="8.85546875" style="2" customWidth="1"/>
    <col min="14651" max="14651" width="9.140625" style="2" bestFit="1" customWidth="1"/>
    <col min="14652" max="14653" width="10.140625" style="2" customWidth="1"/>
    <col min="14654" max="14654" width="10" style="2" customWidth="1"/>
    <col min="14655" max="14655" width="8.28515625" style="2" customWidth="1"/>
    <col min="14656" max="14656" width="9" style="2" customWidth="1"/>
    <col min="14657" max="14657" width="10.5703125" style="2" customWidth="1"/>
    <col min="14658" max="14658" width="10.140625" style="2" customWidth="1"/>
    <col min="14659" max="14659" width="9.7109375" style="2" customWidth="1"/>
    <col min="14660" max="14660" width="9.140625" style="2" customWidth="1"/>
    <col min="14661" max="14661" width="10.140625" style="2" customWidth="1"/>
    <col min="14662" max="14662" width="9" style="2" customWidth="1"/>
    <col min="14663" max="14663" width="9.28515625" style="2" customWidth="1"/>
    <col min="14664" max="14664" width="11" style="2" customWidth="1"/>
    <col min="14665" max="14665" width="10.140625" style="2" customWidth="1"/>
    <col min="14666" max="14666" width="10.7109375" style="2" customWidth="1"/>
    <col min="14667" max="14667" width="9.85546875" style="2" customWidth="1"/>
    <col min="14668" max="14668" width="11" style="2" customWidth="1"/>
    <col min="14669" max="14669" width="10" style="2" customWidth="1"/>
    <col min="14670" max="14670" width="9.140625" style="2" customWidth="1"/>
    <col min="14671" max="14671" width="10.28515625" style="2" customWidth="1"/>
    <col min="14672" max="14672" width="10.5703125" style="2" customWidth="1"/>
    <col min="14673" max="14673" width="9.85546875" style="2" customWidth="1"/>
    <col min="14674" max="14674" width="10.7109375" style="2" customWidth="1"/>
    <col min="14675" max="14675" width="9.42578125" style="2" customWidth="1"/>
    <col min="14676" max="14676" width="10.42578125" style="2" customWidth="1"/>
    <col min="14677" max="14677" width="9.85546875" style="2" customWidth="1"/>
    <col min="14678" max="14678" width="10.7109375" style="2" customWidth="1"/>
    <col min="14679" max="14679" width="10.140625" style="2" customWidth="1"/>
    <col min="14680" max="14680" width="10.28515625" style="2" customWidth="1"/>
    <col min="14681" max="14681" width="9" style="2" customWidth="1"/>
    <col min="14682" max="14682" width="11.140625" style="2" customWidth="1"/>
    <col min="14683" max="14683" width="10.28515625" style="2" customWidth="1"/>
    <col min="14684" max="14684" width="9.42578125" style="2" customWidth="1"/>
    <col min="14685" max="14685" width="10.42578125" style="2" customWidth="1"/>
    <col min="14686" max="14686" width="9.42578125" style="2" customWidth="1"/>
    <col min="14687" max="14687" width="9" style="2" customWidth="1"/>
    <col min="14688" max="14688" width="10.28515625" style="2" customWidth="1"/>
    <col min="14689" max="14689" width="8.42578125" style="2" customWidth="1"/>
    <col min="14690" max="14690" width="9.7109375" style="2" customWidth="1"/>
    <col min="14691" max="14691" width="8.7109375" style="2" customWidth="1"/>
    <col min="14692" max="14692" width="9.42578125" style="2" customWidth="1"/>
    <col min="14693" max="14693" width="10.85546875" style="2" customWidth="1"/>
    <col min="14694" max="14694" width="9.7109375" style="2" customWidth="1"/>
    <col min="14695" max="14695" width="11.42578125" style="2" customWidth="1"/>
    <col min="14696" max="14696" width="11" style="2" customWidth="1"/>
    <col min="14697" max="14697" width="9.42578125" style="2" customWidth="1"/>
    <col min="14698" max="14698" width="10.28515625" style="2" customWidth="1"/>
    <col min="14699" max="14699" width="10.42578125" style="2" customWidth="1"/>
    <col min="14700" max="14700" width="10.28515625" style="2" customWidth="1"/>
    <col min="14701" max="14702" width="9.140625" style="2" bestFit="1" customWidth="1"/>
    <col min="14703" max="14703" width="10" style="2" customWidth="1"/>
    <col min="14704" max="14704" width="9.140625" style="2" customWidth="1"/>
    <col min="14705" max="14705" width="9.85546875" style="2" customWidth="1"/>
    <col min="14706" max="14706" width="9.5703125" style="2" customWidth="1"/>
    <col min="14707" max="14707" width="10.85546875" style="2" customWidth="1"/>
    <col min="14708" max="14708" width="10.5703125" style="2" customWidth="1"/>
    <col min="14709" max="14709" width="10.28515625" style="2" customWidth="1"/>
    <col min="14710" max="14710" width="9.5703125" style="2" customWidth="1"/>
    <col min="14711" max="14711" width="9.28515625" style="2" customWidth="1"/>
    <col min="14712" max="14712" width="10.28515625" style="2" customWidth="1"/>
    <col min="14713" max="14713" width="10" style="2" customWidth="1"/>
    <col min="14714" max="14714" width="9" style="2" customWidth="1"/>
    <col min="14715" max="14715" width="10.42578125" style="2" customWidth="1"/>
    <col min="14716" max="14717" width="9.85546875" style="2" customWidth="1"/>
    <col min="14718" max="14718" width="10" style="2" customWidth="1"/>
    <col min="14719" max="14719" width="8.28515625" style="2" customWidth="1"/>
    <col min="14720" max="14720" width="9.85546875" style="2" customWidth="1"/>
    <col min="14721" max="14721" width="11.5703125" style="2" customWidth="1"/>
    <col min="14722" max="14722" width="9.140625" style="2" bestFit="1" customWidth="1"/>
    <col min="14723" max="14723" width="10" style="2" customWidth="1"/>
    <col min="14724" max="14724" width="8" style="2" customWidth="1"/>
    <col min="14725" max="14725" width="11.28515625" style="2" customWidth="1"/>
    <col min="14726" max="14728" width="10.140625" style="2" bestFit="1" customWidth="1"/>
    <col min="14729" max="14729" width="12.28515625" style="2" customWidth="1"/>
    <col min="14730" max="14731" width="5.7109375" style="2"/>
    <col min="14732" max="14732" width="10.28515625" style="2" bestFit="1" customWidth="1"/>
    <col min="14733" max="14738" width="5.7109375" style="2"/>
    <col min="14739" max="14739" width="22" style="2" customWidth="1"/>
    <col min="14740" max="14740" width="16" style="2" customWidth="1"/>
    <col min="14741" max="14741" width="7.140625" style="2" bestFit="1" customWidth="1"/>
    <col min="14742" max="14742" width="9.28515625" style="2" bestFit="1" customWidth="1"/>
    <col min="14743" max="14803" width="5.7109375" style="2"/>
    <col min="14804" max="14804" width="29.42578125" style="2" customWidth="1"/>
    <col min="14805" max="14805" width="4.7109375" style="2" customWidth="1"/>
    <col min="14806" max="14807" width="9.7109375" style="2" customWidth="1"/>
    <col min="14808" max="14808" width="9.42578125" style="2" customWidth="1"/>
    <col min="14809" max="14809" width="9.140625" style="2" customWidth="1"/>
    <col min="14810" max="14810" width="8.85546875" style="2" customWidth="1"/>
    <col min="14811" max="14811" width="9.7109375" style="2" customWidth="1"/>
    <col min="14812" max="14812" width="8.140625" style="2" customWidth="1"/>
    <col min="14813" max="14813" width="10.42578125" style="2" customWidth="1"/>
    <col min="14814" max="14814" width="9.140625" style="2" customWidth="1"/>
    <col min="14815" max="14815" width="9.85546875" style="2" customWidth="1"/>
    <col min="14816" max="14816" width="9.42578125" style="2" customWidth="1"/>
    <col min="14817" max="14817" width="9.5703125" style="2" customWidth="1"/>
    <col min="14818" max="14818" width="9.28515625" style="2" customWidth="1"/>
    <col min="14819" max="14819" width="9.140625" style="2" customWidth="1"/>
    <col min="14820" max="14820" width="9.28515625" style="2" bestFit="1" customWidth="1"/>
    <col min="14821" max="14821" width="10.5703125" style="2" customWidth="1"/>
    <col min="14822" max="14822" width="7.7109375" style="2" customWidth="1"/>
    <col min="14823" max="14823" width="9.140625" style="2" customWidth="1"/>
    <col min="14824" max="14824" width="7.85546875" style="2" customWidth="1"/>
    <col min="14825" max="14825" width="8.7109375" style="2" customWidth="1"/>
    <col min="14826" max="14826" width="9.42578125" style="2" customWidth="1"/>
    <col min="14827" max="14827" width="10.28515625" style="2" customWidth="1"/>
    <col min="14828" max="14828" width="9.85546875" style="2" customWidth="1"/>
    <col min="14829" max="14829" width="10.140625" style="2" customWidth="1"/>
    <col min="14830" max="14831" width="8.140625" style="2" customWidth="1"/>
    <col min="14832" max="14833" width="7.85546875" style="2" customWidth="1"/>
    <col min="14834" max="14834" width="9.140625" style="2" customWidth="1"/>
    <col min="14835" max="14835" width="9.7109375" style="2" customWidth="1"/>
    <col min="14836" max="14836" width="8.28515625" style="2" customWidth="1"/>
    <col min="14837" max="14837" width="9.140625" style="2" customWidth="1"/>
    <col min="14838" max="14838" width="10" style="2" customWidth="1"/>
    <col min="14839" max="14839" width="10.28515625" style="2" customWidth="1"/>
    <col min="14840" max="14840" width="9.85546875" style="2" customWidth="1"/>
    <col min="14841" max="14841" width="9.42578125" style="2" customWidth="1"/>
    <col min="14842" max="14842" width="9.7109375" style="2" customWidth="1"/>
    <col min="14843" max="14843" width="9.42578125" style="2" customWidth="1"/>
    <col min="14844" max="14844" width="9.28515625" style="2" customWidth="1"/>
    <col min="14845" max="14845" width="10.5703125" style="2" customWidth="1"/>
    <col min="14846" max="14847" width="8.85546875" style="2" customWidth="1"/>
    <col min="14848" max="14848" width="8.28515625" style="2" customWidth="1"/>
    <col min="14849" max="14849" width="8.85546875" style="2" customWidth="1"/>
    <col min="14850" max="14850" width="9.5703125" style="2" customWidth="1"/>
    <col min="14851" max="14851" width="8.42578125" style="2" customWidth="1"/>
    <col min="14852" max="14852" width="9.5703125" style="2" customWidth="1"/>
    <col min="14853" max="14853" width="8.28515625" style="2" customWidth="1"/>
    <col min="14854" max="14854" width="9.28515625" style="2" customWidth="1"/>
    <col min="14855" max="14855" width="9.85546875" style="2" customWidth="1"/>
    <col min="14856" max="14856" width="10.28515625" style="2" customWidth="1"/>
    <col min="14857" max="14857" width="10.42578125" style="2" customWidth="1"/>
    <col min="14858" max="14858" width="9.5703125" style="2" customWidth="1"/>
    <col min="14859" max="14859" width="10.140625" style="2" customWidth="1"/>
    <col min="14860" max="14860" width="9.5703125" style="2" customWidth="1"/>
    <col min="14861" max="14861" width="10.28515625" style="2" customWidth="1"/>
    <col min="14862" max="14862" width="10" style="2" customWidth="1"/>
    <col min="14863" max="14863" width="9.140625" style="2" customWidth="1"/>
    <col min="14864" max="14864" width="10.5703125" style="2" customWidth="1"/>
    <col min="14865" max="14865" width="9.28515625" style="2" customWidth="1"/>
    <col min="14866" max="14867" width="9.42578125" style="2" customWidth="1"/>
    <col min="14868" max="14868" width="9" style="2" customWidth="1"/>
    <col min="14869" max="14869" width="11" style="2" customWidth="1"/>
    <col min="14870" max="14870" width="9.28515625" style="2" customWidth="1"/>
    <col min="14871" max="14871" width="9.7109375" style="2" customWidth="1"/>
    <col min="14872" max="14872" width="10.85546875" style="2" customWidth="1"/>
    <col min="14873" max="14873" width="10.5703125" style="2" customWidth="1"/>
    <col min="14874" max="14874" width="10.28515625" style="2" customWidth="1"/>
    <col min="14875" max="14875" width="9.85546875" style="2" customWidth="1"/>
    <col min="14876" max="14876" width="10.28515625" style="2" customWidth="1"/>
    <col min="14877" max="14877" width="9" style="2" customWidth="1"/>
    <col min="14878" max="14878" width="9.85546875" style="2" customWidth="1"/>
    <col min="14879" max="14879" width="9.42578125" style="2" customWidth="1"/>
    <col min="14880" max="14880" width="9.140625" style="2" customWidth="1"/>
    <col min="14881" max="14881" width="11" style="2" customWidth="1"/>
    <col min="14882" max="14882" width="9.28515625" style="2" customWidth="1"/>
    <col min="14883" max="14883" width="9.5703125" style="2" customWidth="1"/>
    <col min="14884" max="14884" width="10.42578125" style="2" customWidth="1"/>
    <col min="14885" max="14885" width="9" style="2" customWidth="1"/>
    <col min="14886" max="14886" width="9.7109375" style="2" customWidth="1"/>
    <col min="14887" max="14887" width="10" style="2" customWidth="1"/>
    <col min="14888" max="14888" width="10.7109375" style="2" customWidth="1"/>
    <col min="14889" max="14889" width="9.42578125" style="2" customWidth="1"/>
    <col min="14890" max="14890" width="10.28515625" style="2" customWidth="1"/>
    <col min="14891" max="14891" width="9.5703125" style="2" customWidth="1"/>
    <col min="14892" max="14892" width="10" style="2" customWidth="1"/>
    <col min="14893" max="14893" width="9" style="2" customWidth="1"/>
    <col min="14894" max="14894" width="10.5703125" style="2" customWidth="1"/>
    <col min="14895" max="14895" width="11.28515625" style="2" customWidth="1"/>
    <col min="14896" max="14896" width="10.5703125" style="2" customWidth="1"/>
    <col min="14897" max="14897" width="9.7109375" style="2" customWidth="1"/>
    <col min="14898" max="14898" width="9.5703125" style="2" customWidth="1"/>
    <col min="14899" max="14899" width="10.5703125" style="2" customWidth="1"/>
    <col min="14900" max="14900" width="10.42578125" style="2" customWidth="1"/>
    <col min="14901" max="14901" width="9.85546875" style="2" customWidth="1"/>
    <col min="14902" max="14902" width="10.5703125" style="2" bestFit="1" customWidth="1"/>
    <col min="14903" max="14905" width="10.140625" style="2" bestFit="1" customWidth="1"/>
    <col min="14906" max="14906" width="8.85546875" style="2" customWidth="1"/>
    <col min="14907" max="14907" width="9.140625" style="2" bestFit="1" customWidth="1"/>
    <col min="14908" max="14909" width="10.140625" style="2" customWidth="1"/>
    <col min="14910" max="14910" width="10" style="2" customWidth="1"/>
    <col min="14911" max="14911" width="8.28515625" style="2" customWidth="1"/>
    <col min="14912" max="14912" width="9" style="2" customWidth="1"/>
    <col min="14913" max="14913" width="10.5703125" style="2" customWidth="1"/>
    <col min="14914" max="14914" width="10.140625" style="2" customWidth="1"/>
    <col min="14915" max="14915" width="9.7109375" style="2" customWidth="1"/>
    <col min="14916" max="14916" width="9.140625" style="2" customWidth="1"/>
    <col min="14917" max="14917" width="10.140625" style="2" customWidth="1"/>
    <col min="14918" max="14918" width="9" style="2" customWidth="1"/>
    <col min="14919" max="14919" width="9.28515625" style="2" customWidth="1"/>
    <col min="14920" max="14920" width="11" style="2" customWidth="1"/>
    <col min="14921" max="14921" width="10.140625" style="2" customWidth="1"/>
    <col min="14922" max="14922" width="10.7109375" style="2" customWidth="1"/>
    <col min="14923" max="14923" width="9.85546875" style="2" customWidth="1"/>
    <col min="14924" max="14924" width="11" style="2" customWidth="1"/>
    <col min="14925" max="14925" width="10" style="2" customWidth="1"/>
    <col min="14926" max="14926" width="9.140625" style="2" customWidth="1"/>
    <col min="14927" max="14927" width="10.28515625" style="2" customWidth="1"/>
    <col min="14928" max="14928" width="10.5703125" style="2" customWidth="1"/>
    <col min="14929" max="14929" width="9.85546875" style="2" customWidth="1"/>
    <col min="14930" max="14930" width="10.7109375" style="2" customWidth="1"/>
    <col min="14931" max="14931" width="9.42578125" style="2" customWidth="1"/>
    <col min="14932" max="14932" width="10.42578125" style="2" customWidth="1"/>
    <col min="14933" max="14933" width="9.85546875" style="2" customWidth="1"/>
    <col min="14934" max="14934" width="10.7109375" style="2" customWidth="1"/>
    <col min="14935" max="14935" width="10.140625" style="2" customWidth="1"/>
    <col min="14936" max="14936" width="10.28515625" style="2" customWidth="1"/>
    <col min="14937" max="14937" width="9" style="2" customWidth="1"/>
    <col min="14938" max="14938" width="11.140625" style="2" customWidth="1"/>
    <col min="14939" max="14939" width="10.28515625" style="2" customWidth="1"/>
    <col min="14940" max="14940" width="9.42578125" style="2" customWidth="1"/>
    <col min="14941" max="14941" width="10.42578125" style="2" customWidth="1"/>
    <col min="14942" max="14942" width="9.42578125" style="2" customWidth="1"/>
    <col min="14943" max="14943" width="9" style="2" customWidth="1"/>
    <col min="14944" max="14944" width="10.28515625" style="2" customWidth="1"/>
    <col min="14945" max="14945" width="8.42578125" style="2" customWidth="1"/>
    <col min="14946" max="14946" width="9.7109375" style="2" customWidth="1"/>
    <col min="14947" max="14947" width="8.7109375" style="2" customWidth="1"/>
    <col min="14948" max="14948" width="9.42578125" style="2" customWidth="1"/>
    <col min="14949" max="14949" width="10.85546875" style="2" customWidth="1"/>
    <col min="14950" max="14950" width="9.7109375" style="2" customWidth="1"/>
    <col min="14951" max="14951" width="11.42578125" style="2" customWidth="1"/>
    <col min="14952" max="14952" width="11" style="2" customWidth="1"/>
    <col min="14953" max="14953" width="9.42578125" style="2" customWidth="1"/>
    <col min="14954" max="14954" width="10.28515625" style="2" customWidth="1"/>
    <col min="14955" max="14955" width="10.42578125" style="2" customWidth="1"/>
    <col min="14956" max="14956" width="10.28515625" style="2" customWidth="1"/>
    <col min="14957" max="14958" width="9.140625" style="2" bestFit="1" customWidth="1"/>
    <col min="14959" max="14959" width="10" style="2" customWidth="1"/>
    <col min="14960" max="14960" width="9.140625" style="2" customWidth="1"/>
    <col min="14961" max="14961" width="9.85546875" style="2" customWidth="1"/>
    <col min="14962" max="14962" width="9.5703125" style="2" customWidth="1"/>
    <col min="14963" max="14963" width="10.85546875" style="2" customWidth="1"/>
    <col min="14964" max="14964" width="10.5703125" style="2" customWidth="1"/>
    <col min="14965" max="14965" width="10.28515625" style="2" customWidth="1"/>
    <col min="14966" max="14966" width="9.5703125" style="2" customWidth="1"/>
    <col min="14967" max="14967" width="9.28515625" style="2" customWidth="1"/>
    <col min="14968" max="14968" width="10.28515625" style="2" customWidth="1"/>
    <col min="14969" max="14969" width="10" style="2" customWidth="1"/>
    <col min="14970" max="14970" width="9" style="2" customWidth="1"/>
    <col min="14971" max="14971" width="10.42578125" style="2" customWidth="1"/>
    <col min="14972" max="14973" width="9.85546875" style="2" customWidth="1"/>
    <col min="14974" max="14974" width="10" style="2" customWidth="1"/>
    <col min="14975" max="14975" width="8.28515625" style="2" customWidth="1"/>
    <col min="14976" max="14976" width="9.85546875" style="2" customWidth="1"/>
    <col min="14977" max="14977" width="11.5703125" style="2" customWidth="1"/>
    <col min="14978" max="14978" width="9.140625" style="2" bestFit="1" customWidth="1"/>
    <col min="14979" max="14979" width="10" style="2" customWidth="1"/>
    <col min="14980" max="14980" width="8" style="2" customWidth="1"/>
    <col min="14981" max="14981" width="11.28515625" style="2" customWidth="1"/>
    <col min="14982" max="14984" width="10.140625" style="2" bestFit="1" customWidth="1"/>
    <col min="14985" max="14985" width="12.28515625" style="2" customWidth="1"/>
    <col min="14986" max="14987" width="5.7109375" style="2"/>
    <col min="14988" max="14988" width="10.28515625" style="2" bestFit="1" customWidth="1"/>
    <col min="14989" max="14994" width="5.7109375" style="2"/>
    <col min="14995" max="14995" width="22" style="2" customWidth="1"/>
    <col min="14996" max="14996" width="16" style="2" customWidth="1"/>
    <col min="14997" max="14997" width="7.140625" style="2" bestFit="1" customWidth="1"/>
    <col min="14998" max="14998" width="9.28515625" style="2" bestFit="1" customWidth="1"/>
    <col min="14999" max="15059" width="5.7109375" style="2"/>
    <col min="15060" max="15060" width="29.42578125" style="2" customWidth="1"/>
    <col min="15061" max="15061" width="4.7109375" style="2" customWidth="1"/>
    <col min="15062" max="15063" width="9.7109375" style="2" customWidth="1"/>
    <col min="15064" max="15064" width="9.42578125" style="2" customWidth="1"/>
    <col min="15065" max="15065" width="9.140625" style="2" customWidth="1"/>
    <col min="15066" max="15066" width="8.85546875" style="2" customWidth="1"/>
    <col min="15067" max="15067" width="9.7109375" style="2" customWidth="1"/>
    <col min="15068" max="15068" width="8.140625" style="2" customWidth="1"/>
    <col min="15069" max="15069" width="10.42578125" style="2" customWidth="1"/>
    <col min="15070" max="15070" width="9.140625" style="2" customWidth="1"/>
    <col min="15071" max="15071" width="9.85546875" style="2" customWidth="1"/>
    <col min="15072" max="15072" width="9.42578125" style="2" customWidth="1"/>
    <col min="15073" max="15073" width="9.5703125" style="2" customWidth="1"/>
    <col min="15074" max="15074" width="9.28515625" style="2" customWidth="1"/>
    <col min="15075" max="15075" width="9.140625" style="2" customWidth="1"/>
    <col min="15076" max="15076" width="9.28515625" style="2" bestFit="1" customWidth="1"/>
    <col min="15077" max="15077" width="10.5703125" style="2" customWidth="1"/>
    <col min="15078" max="15078" width="7.7109375" style="2" customWidth="1"/>
    <col min="15079" max="15079" width="9.140625" style="2" customWidth="1"/>
    <col min="15080" max="15080" width="7.85546875" style="2" customWidth="1"/>
    <col min="15081" max="15081" width="8.7109375" style="2" customWidth="1"/>
    <col min="15082" max="15082" width="9.42578125" style="2" customWidth="1"/>
    <col min="15083" max="15083" width="10.28515625" style="2" customWidth="1"/>
    <col min="15084" max="15084" width="9.85546875" style="2" customWidth="1"/>
    <col min="15085" max="15085" width="10.140625" style="2" customWidth="1"/>
    <col min="15086" max="15087" width="8.140625" style="2" customWidth="1"/>
    <col min="15088" max="15089" width="7.85546875" style="2" customWidth="1"/>
    <col min="15090" max="15090" width="9.140625" style="2" customWidth="1"/>
    <col min="15091" max="15091" width="9.7109375" style="2" customWidth="1"/>
    <col min="15092" max="15092" width="8.28515625" style="2" customWidth="1"/>
    <col min="15093" max="15093" width="9.140625" style="2" customWidth="1"/>
    <col min="15094" max="15094" width="10" style="2" customWidth="1"/>
    <col min="15095" max="15095" width="10.28515625" style="2" customWidth="1"/>
    <col min="15096" max="15096" width="9.85546875" style="2" customWidth="1"/>
    <col min="15097" max="15097" width="9.42578125" style="2" customWidth="1"/>
    <col min="15098" max="15098" width="9.7109375" style="2" customWidth="1"/>
    <col min="15099" max="15099" width="9.42578125" style="2" customWidth="1"/>
    <col min="15100" max="15100" width="9.28515625" style="2" customWidth="1"/>
    <col min="15101" max="15101" width="10.5703125" style="2" customWidth="1"/>
    <col min="15102" max="15103" width="8.85546875" style="2" customWidth="1"/>
    <col min="15104" max="15104" width="8.28515625" style="2" customWidth="1"/>
    <col min="15105" max="15105" width="8.85546875" style="2" customWidth="1"/>
    <col min="15106" max="15106" width="9.5703125" style="2" customWidth="1"/>
    <col min="15107" max="15107" width="8.42578125" style="2" customWidth="1"/>
    <col min="15108" max="15108" width="9.5703125" style="2" customWidth="1"/>
    <col min="15109" max="15109" width="8.28515625" style="2" customWidth="1"/>
    <col min="15110" max="15110" width="9.28515625" style="2" customWidth="1"/>
    <col min="15111" max="15111" width="9.85546875" style="2" customWidth="1"/>
    <col min="15112" max="15112" width="10.28515625" style="2" customWidth="1"/>
    <col min="15113" max="15113" width="10.42578125" style="2" customWidth="1"/>
    <col min="15114" max="15114" width="9.5703125" style="2" customWidth="1"/>
    <col min="15115" max="15115" width="10.140625" style="2" customWidth="1"/>
    <col min="15116" max="15116" width="9.5703125" style="2" customWidth="1"/>
    <col min="15117" max="15117" width="10.28515625" style="2" customWidth="1"/>
    <col min="15118" max="15118" width="10" style="2" customWidth="1"/>
    <col min="15119" max="15119" width="9.140625" style="2" customWidth="1"/>
    <col min="15120" max="15120" width="10.5703125" style="2" customWidth="1"/>
    <col min="15121" max="15121" width="9.28515625" style="2" customWidth="1"/>
    <col min="15122" max="15123" width="9.42578125" style="2" customWidth="1"/>
    <col min="15124" max="15124" width="9" style="2" customWidth="1"/>
    <col min="15125" max="15125" width="11" style="2" customWidth="1"/>
    <col min="15126" max="15126" width="9.28515625" style="2" customWidth="1"/>
    <col min="15127" max="15127" width="9.7109375" style="2" customWidth="1"/>
    <col min="15128" max="15128" width="10.85546875" style="2" customWidth="1"/>
    <col min="15129" max="15129" width="10.5703125" style="2" customWidth="1"/>
    <col min="15130" max="15130" width="10.28515625" style="2" customWidth="1"/>
    <col min="15131" max="15131" width="9.85546875" style="2" customWidth="1"/>
    <col min="15132" max="15132" width="10.28515625" style="2" customWidth="1"/>
    <col min="15133" max="15133" width="9" style="2" customWidth="1"/>
    <col min="15134" max="15134" width="9.85546875" style="2" customWidth="1"/>
    <col min="15135" max="15135" width="9.42578125" style="2" customWidth="1"/>
    <col min="15136" max="15136" width="9.140625" style="2" customWidth="1"/>
    <col min="15137" max="15137" width="11" style="2" customWidth="1"/>
    <col min="15138" max="15138" width="9.28515625" style="2" customWidth="1"/>
    <col min="15139" max="15139" width="9.5703125" style="2" customWidth="1"/>
    <col min="15140" max="15140" width="10.42578125" style="2" customWidth="1"/>
    <col min="15141" max="15141" width="9" style="2" customWidth="1"/>
    <col min="15142" max="15142" width="9.7109375" style="2" customWidth="1"/>
    <col min="15143" max="15143" width="10" style="2" customWidth="1"/>
    <col min="15144" max="15144" width="10.7109375" style="2" customWidth="1"/>
    <col min="15145" max="15145" width="9.42578125" style="2" customWidth="1"/>
    <col min="15146" max="15146" width="10.28515625" style="2" customWidth="1"/>
    <col min="15147" max="15147" width="9.5703125" style="2" customWidth="1"/>
    <col min="15148" max="15148" width="10" style="2" customWidth="1"/>
    <col min="15149" max="15149" width="9" style="2" customWidth="1"/>
    <col min="15150" max="15150" width="10.5703125" style="2" customWidth="1"/>
    <col min="15151" max="15151" width="11.28515625" style="2" customWidth="1"/>
    <col min="15152" max="15152" width="10.5703125" style="2" customWidth="1"/>
    <col min="15153" max="15153" width="9.7109375" style="2" customWidth="1"/>
    <col min="15154" max="15154" width="9.5703125" style="2" customWidth="1"/>
    <col min="15155" max="15155" width="10.5703125" style="2" customWidth="1"/>
    <col min="15156" max="15156" width="10.42578125" style="2" customWidth="1"/>
    <col min="15157" max="15157" width="9.85546875" style="2" customWidth="1"/>
    <col min="15158" max="15158" width="10.5703125" style="2" bestFit="1" customWidth="1"/>
    <col min="15159" max="15161" width="10.140625" style="2" bestFit="1" customWidth="1"/>
    <col min="15162" max="15162" width="8.85546875" style="2" customWidth="1"/>
    <col min="15163" max="15163" width="9.140625" style="2" bestFit="1" customWidth="1"/>
    <col min="15164" max="15165" width="10.140625" style="2" customWidth="1"/>
    <col min="15166" max="15166" width="10" style="2" customWidth="1"/>
    <col min="15167" max="15167" width="8.28515625" style="2" customWidth="1"/>
    <col min="15168" max="15168" width="9" style="2" customWidth="1"/>
    <col min="15169" max="15169" width="10.5703125" style="2" customWidth="1"/>
    <col min="15170" max="15170" width="10.140625" style="2" customWidth="1"/>
    <col min="15171" max="15171" width="9.7109375" style="2" customWidth="1"/>
    <col min="15172" max="15172" width="9.140625" style="2" customWidth="1"/>
    <col min="15173" max="15173" width="10.140625" style="2" customWidth="1"/>
    <col min="15174" max="15174" width="9" style="2" customWidth="1"/>
    <col min="15175" max="15175" width="9.28515625" style="2" customWidth="1"/>
    <col min="15176" max="15176" width="11" style="2" customWidth="1"/>
    <col min="15177" max="15177" width="10.140625" style="2" customWidth="1"/>
    <col min="15178" max="15178" width="10.7109375" style="2" customWidth="1"/>
    <col min="15179" max="15179" width="9.85546875" style="2" customWidth="1"/>
    <col min="15180" max="15180" width="11" style="2" customWidth="1"/>
    <col min="15181" max="15181" width="10" style="2" customWidth="1"/>
    <col min="15182" max="15182" width="9.140625" style="2" customWidth="1"/>
    <col min="15183" max="15183" width="10.28515625" style="2" customWidth="1"/>
    <col min="15184" max="15184" width="10.5703125" style="2" customWidth="1"/>
    <col min="15185" max="15185" width="9.85546875" style="2" customWidth="1"/>
    <col min="15186" max="15186" width="10.7109375" style="2" customWidth="1"/>
    <col min="15187" max="15187" width="9.42578125" style="2" customWidth="1"/>
    <col min="15188" max="15188" width="10.42578125" style="2" customWidth="1"/>
    <col min="15189" max="15189" width="9.85546875" style="2" customWidth="1"/>
    <col min="15190" max="15190" width="10.7109375" style="2" customWidth="1"/>
    <col min="15191" max="15191" width="10.140625" style="2" customWidth="1"/>
    <col min="15192" max="15192" width="10.28515625" style="2" customWidth="1"/>
    <col min="15193" max="15193" width="9" style="2" customWidth="1"/>
    <col min="15194" max="15194" width="11.140625" style="2" customWidth="1"/>
    <col min="15195" max="15195" width="10.28515625" style="2" customWidth="1"/>
    <col min="15196" max="15196" width="9.42578125" style="2" customWidth="1"/>
    <col min="15197" max="15197" width="10.42578125" style="2" customWidth="1"/>
    <col min="15198" max="15198" width="9.42578125" style="2" customWidth="1"/>
    <col min="15199" max="15199" width="9" style="2" customWidth="1"/>
    <col min="15200" max="15200" width="10.28515625" style="2" customWidth="1"/>
    <col min="15201" max="15201" width="8.42578125" style="2" customWidth="1"/>
    <col min="15202" max="15202" width="9.7109375" style="2" customWidth="1"/>
    <col min="15203" max="15203" width="8.7109375" style="2" customWidth="1"/>
    <col min="15204" max="15204" width="9.42578125" style="2" customWidth="1"/>
    <col min="15205" max="15205" width="10.85546875" style="2" customWidth="1"/>
    <col min="15206" max="15206" width="9.7109375" style="2" customWidth="1"/>
    <col min="15207" max="15207" width="11.42578125" style="2" customWidth="1"/>
    <col min="15208" max="15208" width="11" style="2" customWidth="1"/>
    <col min="15209" max="15209" width="9.42578125" style="2" customWidth="1"/>
    <col min="15210" max="15210" width="10.28515625" style="2" customWidth="1"/>
    <col min="15211" max="15211" width="10.42578125" style="2" customWidth="1"/>
    <col min="15212" max="15212" width="10.28515625" style="2" customWidth="1"/>
    <col min="15213" max="15214" width="9.140625" style="2" bestFit="1" customWidth="1"/>
    <col min="15215" max="15215" width="10" style="2" customWidth="1"/>
    <col min="15216" max="15216" width="9.140625" style="2" customWidth="1"/>
    <col min="15217" max="15217" width="9.85546875" style="2" customWidth="1"/>
    <col min="15218" max="15218" width="9.5703125" style="2" customWidth="1"/>
    <col min="15219" max="15219" width="10.85546875" style="2" customWidth="1"/>
    <col min="15220" max="15220" width="10.5703125" style="2" customWidth="1"/>
    <col min="15221" max="15221" width="10.28515625" style="2" customWidth="1"/>
    <col min="15222" max="15222" width="9.5703125" style="2" customWidth="1"/>
    <col min="15223" max="15223" width="9.28515625" style="2" customWidth="1"/>
    <col min="15224" max="15224" width="10.28515625" style="2" customWidth="1"/>
    <col min="15225" max="15225" width="10" style="2" customWidth="1"/>
    <col min="15226" max="15226" width="9" style="2" customWidth="1"/>
    <col min="15227" max="15227" width="10.42578125" style="2" customWidth="1"/>
    <col min="15228" max="15229" width="9.85546875" style="2" customWidth="1"/>
    <col min="15230" max="15230" width="10" style="2" customWidth="1"/>
    <col min="15231" max="15231" width="8.28515625" style="2" customWidth="1"/>
    <col min="15232" max="15232" width="9.85546875" style="2" customWidth="1"/>
    <col min="15233" max="15233" width="11.5703125" style="2" customWidth="1"/>
    <col min="15234" max="15234" width="9.140625" style="2" bestFit="1" customWidth="1"/>
    <col min="15235" max="15235" width="10" style="2" customWidth="1"/>
    <col min="15236" max="15236" width="8" style="2" customWidth="1"/>
    <col min="15237" max="15237" width="11.28515625" style="2" customWidth="1"/>
    <col min="15238" max="15240" width="10.140625" style="2" bestFit="1" customWidth="1"/>
    <col min="15241" max="15241" width="12.28515625" style="2" customWidth="1"/>
    <col min="15242" max="15243" width="5.7109375" style="2"/>
    <col min="15244" max="15244" width="10.28515625" style="2" bestFit="1" customWidth="1"/>
    <col min="15245" max="15250" width="5.7109375" style="2"/>
    <col min="15251" max="15251" width="22" style="2" customWidth="1"/>
    <col min="15252" max="15252" width="16" style="2" customWidth="1"/>
    <col min="15253" max="15253" width="7.140625" style="2" bestFit="1" customWidth="1"/>
    <col min="15254" max="15254" width="9.28515625" style="2" bestFit="1" customWidth="1"/>
    <col min="15255" max="15315" width="5.7109375" style="2"/>
    <col min="15316" max="15316" width="29.42578125" style="2" customWidth="1"/>
    <col min="15317" max="15317" width="4.7109375" style="2" customWidth="1"/>
    <col min="15318" max="15319" width="9.7109375" style="2" customWidth="1"/>
    <col min="15320" max="15320" width="9.42578125" style="2" customWidth="1"/>
    <col min="15321" max="15321" width="9.140625" style="2" customWidth="1"/>
    <col min="15322" max="15322" width="8.85546875" style="2" customWidth="1"/>
    <col min="15323" max="15323" width="9.7109375" style="2" customWidth="1"/>
    <col min="15324" max="15324" width="8.140625" style="2" customWidth="1"/>
    <col min="15325" max="15325" width="10.42578125" style="2" customWidth="1"/>
    <col min="15326" max="15326" width="9.140625" style="2" customWidth="1"/>
    <col min="15327" max="15327" width="9.85546875" style="2" customWidth="1"/>
    <col min="15328" max="15328" width="9.42578125" style="2" customWidth="1"/>
    <col min="15329" max="15329" width="9.5703125" style="2" customWidth="1"/>
    <col min="15330" max="15330" width="9.28515625" style="2" customWidth="1"/>
    <col min="15331" max="15331" width="9.140625" style="2" customWidth="1"/>
    <col min="15332" max="15332" width="9.28515625" style="2" bestFit="1" customWidth="1"/>
    <col min="15333" max="15333" width="10.5703125" style="2" customWidth="1"/>
    <col min="15334" max="15334" width="7.7109375" style="2" customWidth="1"/>
    <col min="15335" max="15335" width="9.140625" style="2" customWidth="1"/>
    <col min="15336" max="15336" width="7.85546875" style="2" customWidth="1"/>
    <col min="15337" max="15337" width="8.7109375" style="2" customWidth="1"/>
    <col min="15338" max="15338" width="9.42578125" style="2" customWidth="1"/>
    <col min="15339" max="15339" width="10.28515625" style="2" customWidth="1"/>
    <col min="15340" max="15340" width="9.85546875" style="2" customWidth="1"/>
    <col min="15341" max="15341" width="10.140625" style="2" customWidth="1"/>
    <col min="15342" max="15343" width="8.140625" style="2" customWidth="1"/>
    <col min="15344" max="15345" width="7.85546875" style="2" customWidth="1"/>
    <col min="15346" max="15346" width="9.140625" style="2" customWidth="1"/>
    <col min="15347" max="15347" width="9.7109375" style="2" customWidth="1"/>
    <col min="15348" max="15348" width="8.28515625" style="2" customWidth="1"/>
    <col min="15349" max="15349" width="9.140625" style="2" customWidth="1"/>
    <col min="15350" max="15350" width="10" style="2" customWidth="1"/>
    <col min="15351" max="15351" width="10.28515625" style="2" customWidth="1"/>
    <col min="15352" max="15352" width="9.85546875" style="2" customWidth="1"/>
    <col min="15353" max="15353" width="9.42578125" style="2" customWidth="1"/>
    <col min="15354" max="15354" width="9.7109375" style="2" customWidth="1"/>
    <col min="15355" max="15355" width="9.42578125" style="2" customWidth="1"/>
    <col min="15356" max="15356" width="9.28515625" style="2" customWidth="1"/>
    <col min="15357" max="15357" width="10.5703125" style="2" customWidth="1"/>
    <col min="15358" max="15359" width="8.85546875" style="2" customWidth="1"/>
    <col min="15360" max="15360" width="8.28515625" style="2" customWidth="1"/>
    <col min="15361" max="15361" width="8.85546875" style="2" customWidth="1"/>
    <col min="15362" max="15362" width="9.5703125" style="2" customWidth="1"/>
    <col min="15363" max="15363" width="8.42578125" style="2" customWidth="1"/>
    <col min="15364" max="15364" width="9.5703125" style="2" customWidth="1"/>
    <col min="15365" max="15365" width="8.28515625" style="2" customWidth="1"/>
    <col min="15366" max="15366" width="9.28515625" style="2" customWidth="1"/>
    <col min="15367" max="15367" width="9.85546875" style="2" customWidth="1"/>
    <col min="15368" max="15368" width="10.28515625" style="2" customWidth="1"/>
    <col min="15369" max="15369" width="10.42578125" style="2" customWidth="1"/>
    <col min="15370" max="15370" width="9.5703125" style="2" customWidth="1"/>
    <col min="15371" max="15371" width="10.140625" style="2" customWidth="1"/>
    <col min="15372" max="15372" width="9.5703125" style="2" customWidth="1"/>
    <col min="15373" max="15373" width="10.28515625" style="2" customWidth="1"/>
    <col min="15374" max="15374" width="10" style="2" customWidth="1"/>
    <col min="15375" max="15375" width="9.140625" style="2" customWidth="1"/>
    <col min="15376" max="15376" width="10.5703125" style="2" customWidth="1"/>
    <col min="15377" max="15377" width="9.28515625" style="2" customWidth="1"/>
    <col min="15378" max="15379" width="9.42578125" style="2" customWidth="1"/>
    <col min="15380" max="15380" width="9" style="2" customWidth="1"/>
    <col min="15381" max="15381" width="11" style="2" customWidth="1"/>
    <col min="15382" max="15382" width="9.28515625" style="2" customWidth="1"/>
    <col min="15383" max="15383" width="9.7109375" style="2" customWidth="1"/>
    <col min="15384" max="15384" width="10.85546875" style="2" customWidth="1"/>
    <col min="15385" max="15385" width="10.5703125" style="2" customWidth="1"/>
    <col min="15386" max="15386" width="10.28515625" style="2" customWidth="1"/>
    <col min="15387" max="15387" width="9.85546875" style="2" customWidth="1"/>
    <col min="15388" max="15388" width="10.28515625" style="2" customWidth="1"/>
    <col min="15389" max="15389" width="9" style="2" customWidth="1"/>
    <col min="15390" max="15390" width="9.85546875" style="2" customWidth="1"/>
    <col min="15391" max="15391" width="9.42578125" style="2" customWidth="1"/>
    <col min="15392" max="15392" width="9.140625" style="2" customWidth="1"/>
    <col min="15393" max="15393" width="11" style="2" customWidth="1"/>
    <col min="15394" max="15394" width="9.28515625" style="2" customWidth="1"/>
    <col min="15395" max="15395" width="9.5703125" style="2" customWidth="1"/>
    <col min="15396" max="15396" width="10.42578125" style="2" customWidth="1"/>
    <col min="15397" max="15397" width="9" style="2" customWidth="1"/>
    <col min="15398" max="15398" width="9.7109375" style="2" customWidth="1"/>
    <col min="15399" max="15399" width="10" style="2" customWidth="1"/>
    <col min="15400" max="15400" width="10.7109375" style="2" customWidth="1"/>
    <col min="15401" max="15401" width="9.42578125" style="2" customWidth="1"/>
    <col min="15402" max="15402" width="10.28515625" style="2" customWidth="1"/>
    <col min="15403" max="15403" width="9.5703125" style="2" customWidth="1"/>
    <col min="15404" max="15404" width="10" style="2" customWidth="1"/>
    <col min="15405" max="15405" width="9" style="2" customWidth="1"/>
    <col min="15406" max="15406" width="10.5703125" style="2" customWidth="1"/>
    <col min="15407" max="15407" width="11.28515625" style="2" customWidth="1"/>
    <col min="15408" max="15408" width="10.5703125" style="2" customWidth="1"/>
    <col min="15409" max="15409" width="9.7109375" style="2" customWidth="1"/>
    <col min="15410" max="15410" width="9.5703125" style="2" customWidth="1"/>
    <col min="15411" max="15411" width="10.5703125" style="2" customWidth="1"/>
    <col min="15412" max="15412" width="10.42578125" style="2" customWidth="1"/>
    <col min="15413" max="15413" width="9.85546875" style="2" customWidth="1"/>
    <col min="15414" max="15414" width="10.5703125" style="2" bestFit="1" customWidth="1"/>
    <col min="15415" max="15417" width="10.140625" style="2" bestFit="1" customWidth="1"/>
    <col min="15418" max="15418" width="8.85546875" style="2" customWidth="1"/>
    <col min="15419" max="15419" width="9.140625" style="2" bestFit="1" customWidth="1"/>
    <col min="15420" max="15421" width="10.140625" style="2" customWidth="1"/>
    <col min="15422" max="15422" width="10" style="2" customWidth="1"/>
    <col min="15423" max="15423" width="8.28515625" style="2" customWidth="1"/>
    <col min="15424" max="15424" width="9" style="2" customWidth="1"/>
    <col min="15425" max="15425" width="10.5703125" style="2" customWidth="1"/>
    <col min="15426" max="15426" width="10.140625" style="2" customWidth="1"/>
    <col min="15427" max="15427" width="9.7109375" style="2" customWidth="1"/>
    <col min="15428" max="15428" width="9.140625" style="2" customWidth="1"/>
    <col min="15429" max="15429" width="10.140625" style="2" customWidth="1"/>
    <col min="15430" max="15430" width="9" style="2" customWidth="1"/>
    <col min="15431" max="15431" width="9.28515625" style="2" customWidth="1"/>
    <col min="15432" max="15432" width="11" style="2" customWidth="1"/>
    <col min="15433" max="15433" width="10.140625" style="2" customWidth="1"/>
    <col min="15434" max="15434" width="10.7109375" style="2" customWidth="1"/>
    <col min="15435" max="15435" width="9.85546875" style="2" customWidth="1"/>
    <col min="15436" max="15436" width="11" style="2" customWidth="1"/>
    <col min="15437" max="15437" width="10" style="2" customWidth="1"/>
    <col min="15438" max="15438" width="9.140625" style="2" customWidth="1"/>
    <col min="15439" max="15439" width="10.28515625" style="2" customWidth="1"/>
    <col min="15440" max="15440" width="10.5703125" style="2" customWidth="1"/>
    <col min="15441" max="15441" width="9.85546875" style="2" customWidth="1"/>
    <col min="15442" max="15442" width="10.7109375" style="2" customWidth="1"/>
    <col min="15443" max="15443" width="9.42578125" style="2" customWidth="1"/>
    <col min="15444" max="15444" width="10.42578125" style="2" customWidth="1"/>
    <col min="15445" max="15445" width="9.85546875" style="2" customWidth="1"/>
    <col min="15446" max="15446" width="10.7109375" style="2" customWidth="1"/>
    <col min="15447" max="15447" width="10.140625" style="2" customWidth="1"/>
    <col min="15448" max="15448" width="10.28515625" style="2" customWidth="1"/>
    <col min="15449" max="15449" width="9" style="2" customWidth="1"/>
    <col min="15450" max="15450" width="11.140625" style="2" customWidth="1"/>
    <col min="15451" max="15451" width="10.28515625" style="2" customWidth="1"/>
    <col min="15452" max="15452" width="9.42578125" style="2" customWidth="1"/>
    <col min="15453" max="15453" width="10.42578125" style="2" customWidth="1"/>
    <col min="15454" max="15454" width="9.42578125" style="2" customWidth="1"/>
    <col min="15455" max="15455" width="9" style="2" customWidth="1"/>
    <col min="15456" max="15456" width="10.28515625" style="2" customWidth="1"/>
    <col min="15457" max="15457" width="8.42578125" style="2" customWidth="1"/>
    <col min="15458" max="15458" width="9.7109375" style="2" customWidth="1"/>
    <col min="15459" max="15459" width="8.7109375" style="2" customWidth="1"/>
    <col min="15460" max="15460" width="9.42578125" style="2" customWidth="1"/>
    <col min="15461" max="15461" width="10.85546875" style="2" customWidth="1"/>
    <col min="15462" max="15462" width="9.7109375" style="2" customWidth="1"/>
    <col min="15463" max="15463" width="11.42578125" style="2" customWidth="1"/>
    <col min="15464" max="15464" width="11" style="2" customWidth="1"/>
    <col min="15465" max="15465" width="9.42578125" style="2" customWidth="1"/>
    <col min="15466" max="15466" width="10.28515625" style="2" customWidth="1"/>
    <col min="15467" max="15467" width="10.42578125" style="2" customWidth="1"/>
    <col min="15468" max="15468" width="10.28515625" style="2" customWidth="1"/>
    <col min="15469" max="15470" width="9.140625" style="2" bestFit="1" customWidth="1"/>
    <col min="15471" max="15471" width="10" style="2" customWidth="1"/>
    <col min="15472" max="15472" width="9.140625" style="2" customWidth="1"/>
    <col min="15473" max="15473" width="9.85546875" style="2" customWidth="1"/>
    <col min="15474" max="15474" width="9.5703125" style="2" customWidth="1"/>
    <col min="15475" max="15475" width="10.85546875" style="2" customWidth="1"/>
    <col min="15476" max="15476" width="10.5703125" style="2" customWidth="1"/>
    <col min="15477" max="15477" width="10.28515625" style="2" customWidth="1"/>
    <col min="15478" max="15478" width="9.5703125" style="2" customWidth="1"/>
    <col min="15479" max="15479" width="9.28515625" style="2" customWidth="1"/>
    <col min="15480" max="15480" width="10.28515625" style="2" customWidth="1"/>
    <col min="15481" max="15481" width="10" style="2" customWidth="1"/>
    <col min="15482" max="15482" width="9" style="2" customWidth="1"/>
    <col min="15483" max="15483" width="10.42578125" style="2" customWidth="1"/>
    <col min="15484" max="15485" width="9.85546875" style="2" customWidth="1"/>
    <col min="15486" max="15486" width="10" style="2" customWidth="1"/>
    <col min="15487" max="15487" width="8.28515625" style="2" customWidth="1"/>
    <col min="15488" max="15488" width="9.85546875" style="2" customWidth="1"/>
    <col min="15489" max="15489" width="11.5703125" style="2" customWidth="1"/>
    <col min="15490" max="15490" width="9.140625" style="2" bestFit="1" customWidth="1"/>
    <col min="15491" max="15491" width="10" style="2" customWidth="1"/>
    <col min="15492" max="15492" width="8" style="2" customWidth="1"/>
    <col min="15493" max="15493" width="11.28515625" style="2" customWidth="1"/>
    <col min="15494" max="15496" width="10.140625" style="2" bestFit="1" customWidth="1"/>
    <col min="15497" max="15497" width="12.28515625" style="2" customWidth="1"/>
    <col min="15498" max="15499" width="5.7109375" style="2"/>
    <col min="15500" max="15500" width="10.28515625" style="2" bestFit="1" customWidth="1"/>
    <col min="15501" max="15506" width="5.7109375" style="2"/>
    <col min="15507" max="15507" width="22" style="2" customWidth="1"/>
    <col min="15508" max="15508" width="16" style="2" customWidth="1"/>
    <col min="15509" max="15509" width="7.140625" style="2" bestFit="1" customWidth="1"/>
    <col min="15510" max="15510" width="9.28515625" style="2" bestFit="1" customWidth="1"/>
    <col min="15511" max="15571" width="5.7109375" style="2"/>
    <col min="15572" max="15572" width="29.42578125" style="2" customWidth="1"/>
    <col min="15573" max="15573" width="4.7109375" style="2" customWidth="1"/>
    <col min="15574" max="15575" width="9.7109375" style="2" customWidth="1"/>
    <col min="15576" max="15576" width="9.42578125" style="2" customWidth="1"/>
    <col min="15577" max="15577" width="9.140625" style="2" customWidth="1"/>
    <col min="15578" max="15578" width="8.85546875" style="2" customWidth="1"/>
    <col min="15579" max="15579" width="9.7109375" style="2" customWidth="1"/>
    <col min="15580" max="15580" width="8.140625" style="2" customWidth="1"/>
    <col min="15581" max="15581" width="10.42578125" style="2" customWidth="1"/>
    <col min="15582" max="15582" width="9.140625" style="2" customWidth="1"/>
    <col min="15583" max="15583" width="9.85546875" style="2" customWidth="1"/>
    <col min="15584" max="15584" width="9.42578125" style="2" customWidth="1"/>
    <col min="15585" max="15585" width="9.5703125" style="2" customWidth="1"/>
    <col min="15586" max="15586" width="9.28515625" style="2" customWidth="1"/>
    <col min="15587" max="15587" width="9.140625" style="2" customWidth="1"/>
    <col min="15588" max="15588" width="9.28515625" style="2" bestFit="1" customWidth="1"/>
    <col min="15589" max="15589" width="10.5703125" style="2" customWidth="1"/>
    <col min="15590" max="15590" width="7.7109375" style="2" customWidth="1"/>
    <col min="15591" max="15591" width="9.140625" style="2" customWidth="1"/>
    <col min="15592" max="15592" width="7.85546875" style="2" customWidth="1"/>
    <col min="15593" max="15593" width="8.7109375" style="2" customWidth="1"/>
    <col min="15594" max="15594" width="9.42578125" style="2" customWidth="1"/>
    <col min="15595" max="15595" width="10.28515625" style="2" customWidth="1"/>
    <col min="15596" max="15596" width="9.85546875" style="2" customWidth="1"/>
    <col min="15597" max="15597" width="10.140625" style="2" customWidth="1"/>
    <col min="15598" max="15599" width="8.140625" style="2" customWidth="1"/>
    <col min="15600" max="15601" width="7.85546875" style="2" customWidth="1"/>
    <col min="15602" max="15602" width="9.140625" style="2" customWidth="1"/>
    <col min="15603" max="15603" width="9.7109375" style="2" customWidth="1"/>
    <col min="15604" max="15604" width="8.28515625" style="2" customWidth="1"/>
    <col min="15605" max="15605" width="9.140625" style="2" customWidth="1"/>
    <col min="15606" max="15606" width="10" style="2" customWidth="1"/>
    <col min="15607" max="15607" width="10.28515625" style="2" customWidth="1"/>
    <col min="15608" max="15608" width="9.85546875" style="2" customWidth="1"/>
    <col min="15609" max="15609" width="9.42578125" style="2" customWidth="1"/>
    <col min="15610" max="15610" width="9.7109375" style="2" customWidth="1"/>
    <col min="15611" max="15611" width="9.42578125" style="2" customWidth="1"/>
    <col min="15612" max="15612" width="9.28515625" style="2" customWidth="1"/>
    <col min="15613" max="15613" width="10.5703125" style="2" customWidth="1"/>
    <col min="15614" max="15615" width="8.85546875" style="2" customWidth="1"/>
    <col min="15616" max="15616" width="8.28515625" style="2" customWidth="1"/>
    <col min="15617" max="15617" width="8.85546875" style="2" customWidth="1"/>
    <col min="15618" max="15618" width="9.5703125" style="2" customWidth="1"/>
    <col min="15619" max="15619" width="8.42578125" style="2" customWidth="1"/>
    <col min="15620" max="15620" width="9.5703125" style="2" customWidth="1"/>
    <col min="15621" max="15621" width="8.28515625" style="2" customWidth="1"/>
    <col min="15622" max="15622" width="9.28515625" style="2" customWidth="1"/>
    <col min="15623" max="15623" width="9.85546875" style="2" customWidth="1"/>
    <col min="15624" max="15624" width="10.28515625" style="2" customWidth="1"/>
    <col min="15625" max="15625" width="10.42578125" style="2" customWidth="1"/>
    <col min="15626" max="15626" width="9.5703125" style="2" customWidth="1"/>
    <col min="15627" max="15627" width="10.140625" style="2" customWidth="1"/>
    <col min="15628" max="15628" width="9.5703125" style="2" customWidth="1"/>
    <col min="15629" max="15629" width="10.28515625" style="2" customWidth="1"/>
    <col min="15630" max="15630" width="10" style="2" customWidth="1"/>
    <col min="15631" max="15631" width="9.140625" style="2" customWidth="1"/>
    <col min="15632" max="15632" width="10.5703125" style="2" customWidth="1"/>
    <col min="15633" max="15633" width="9.28515625" style="2" customWidth="1"/>
    <col min="15634" max="15635" width="9.42578125" style="2" customWidth="1"/>
    <col min="15636" max="15636" width="9" style="2" customWidth="1"/>
    <col min="15637" max="15637" width="11" style="2" customWidth="1"/>
    <col min="15638" max="15638" width="9.28515625" style="2" customWidth="1"/>
    <col min="15639" max="15639" width="9.7109375" style="2" customWidth="1"/>
    <col min="15640" max="15640" width="10.85546875" style="2" customWidth="1"/>
    <col min="15641" max="15641" width="10.5703125" style="2" customWidth="1"/>
    <col min="15642" max="15642" width="10.28515625" style="2" customWidth="1"/>
    <col min="15643" max="15643" width="9.85546875" style="2" customWidth="1"/>
    <col min="15644" max="15644" width="10.28515625" style="2" customWidth="1"/>
    <col min="15645" max="15645" width="9" style="2" customWidth="1"/>
    <col min="15646" max="15646" width="9.85546875" style="2" customWidth="1"/>
    <col min="15647" max="15647" width="9.42578125" style="2" customWidth="1"/>
    <col min="15648" max="15648" width="9.140625" style="2" customWidth="1"/>
    <col min="15649" max="15649" width="11" style="2" customWidth="1"/>
    <col min="15650" max="15650" width="9.28515625" style="2" customWidth="1"/>
    <col min="15651" max="15651" width="9.5703125" style="2" customWidth="1"/>
    <col min="15652" max="15652" width="10.42578125" style="2" customWidth="1"/>
    <col min="15653" max="15653" width="9" style="2" customWidth="1"/>
    <col min="15654" max="15654" width="9.7109375" style="2" customWidth="1"/>
    <col min="15655" max="15655" width="10" style="2" customWidth="1"/>
    <col min="15656" max="15656" width="10.7109375" style="2" customWidth="1"/>
    <col min="15657" max="15657" width="9.42578125" style="2" customWidth="1"/>
    <col min="15658" max="15658" width="10.28515625" style="2" customWidth="1"/>
    <col min="15659" max="15659" width="9.5703125" style="2" customWidth="1"/>
    <col min="15660" max="15660" width="10" style="2" customWidth="1"/>
    <col min="15661" max="15661" width="9" style="2" customWidth="1"/>
    <col min="15662" max="15662" width="10.5703125" style="2" customWidth="1"/>
    <col min="15663" max="15663" width="11.28515625" style="2" customWidth="1"/>
    <col min="15664" max="15664" width="10.5703125" style="2" customWidth="1"/>
    <col min="15665" max="15665" width="9.7109375" style="2" customWidth="1"/>
    <col min="15666" max="15666" width="9.5703125" style="2" customWidth="1"/>
    <col min="15667" max="15667" width="10.5703125" style="2" customWidth="1"/>
    <col min="15668" max="15668" width="10.42578125" style="2" customWidth="1"/>
    <col min="15669" max="15669" width="9.85546875" style="2" customWidth="1"/>
    <col min="15670" max="15670" width="10.5703125" style="2" bestFit="1" customWidth="1"/>
    <col min="15671" max="15673" width="10.140625" style="2" bestFit="1" customWidth="1"/>
    <col min="15674" max="15674" width="8.85546875" style="2" customWidth="1"/>
    <col min="15675" max="15675" width="9.140625" style="2" bestFit="1" customWidth="1"/>
    <col min="15676" max="15677" width="10.140625" style="2" customWidth="1"/>
    <col min="15678" max="15678" width="10" style="2" customWidth="1"/>
    <col min="15679" max="15679" width="8.28515625" style="2" customWidth="1"/>
    <col min="15680" max="15680" width="9" style="2" customWidth="1"/>
    <col min="15681" max="15681" width="10.5703125" style="2" customWidth="1"/>
    <col min="15682" max="15682" width="10.140625" style="2" customWidth="1"/>
    <col min="15683" max="15683" width="9.7109375" style="2" customWidth="1"/>
    <col min="15684" max="15684" width="9.140625" style="2" customWidth="1"/>
    <col min="15685" max="15685" width="10.140625" style="2" customWidth="1"/>
    <col min="15686" max="15686" width="9" style="2" customWidth="1"/>
    <col min="15687" max="15687" width="9.28515625" style="2" customWidth="1"/>
    <col min="15688" max="15688" width="11" style="2" customWidth="1"/>
    <col min="15689" max="15689" width="10.140625" style="2" customWidth="1"/>
    <col min="15690" max="15690" width="10.7109375" style="2" customWidth="1"/>
    <col min="15691" max="15691" width="9.85546875" style="2" customWidth="1"/>
    <col min="15692" max="15692" width="11" style="2" customWidth="1"/>
    <col min="15693" max="15693" width="10" style="2" customWidth="1"/>
    <col min="15694" max="15694" width="9.140625" style="2" customWidth="1"/>
    <col min="15695" max="15695" width="10.28515625" style="2" customWidth="1"/>
    <col min="15696" max="15696" width="10.5703125" style="2" customWidth="1"/>
    <col min="15697" max="15697" width="9.85546875" style="2" customWidth="1"/>
    <col min="15698" max="15698" width="10.7109375" style="2" customWidth="1"/>
    <col min="15699" max="15699" width="9.42578125" style="2" customWidth="1"/>
    <col min="15700" max="15700" width="10.42578125" style="2" customWidth="1"/>
    <col min="15701" max="15701" width="9.85546875" style="2" customWidth="1"/>
    <col min="15702" max="15702" width="10.7109375" style="2" customWidth="1"/>
    <col min="15703" max="15703" width="10.140625" style="2" customWidth="1"/>
    <col min="15704" max="15704" width="10.28515625" style="2" customWidth="1"/>
    <col min="15705" max="15705" width="9" style="2" customWidth="1"/>
    <col min="15706" max="15706" width="11.140625" style="2" customWidth="1"/>
    <col min="15707" max="15707" width="10.28515625" style="2" customWidth="1"/>
    <col min="15708" max="15708" width="9.42578125" style="2" customWidth="1"/>
    <col min="15709" max="15709" width="10.42578125" style="2" customWidth="1"/>
    <col min="15710" max="15710" width="9.42578125" style="2" customWidth="1"/>
    <col min="15711" max="15711" width="9" style="2" customWidth="1"/>
    <col min="15712" max="15712" width="10.28515625" style="2" customWidth="1"/>
    <col min="15713" max="15713" width="8.42578125" style="2" customWidth="1"/>
    <col min="15714" max="15714" width="9.7109375" style="2" customWidth="1"/>
    <col min="15715" max="15715" width="8.7109375" style="2" customWidth="1"/>
    <col min="15716" max="15716" width="9.42578125" style="2" customWidth="1"/>
    <col min="15717" max="15717" width="10.85546875" style="2" customWidth="1"/>
    <col min="15718" max="15718" width="9.7109375" style="2" customWidth="1"/>
    <col min="15719" max="15719" width="11.42578125" style="2" customWidth="1"/>
    <col min="15720" max="15720" width="11" style="2" customWidth="1"/>
    <col min="15721" max="15721" width="9.42578125" style="2" customWidth="1"/>
    <col min="15722" max="15722" width="10.28515625" style="2" customWidth="1"/>
    <col min="15723" max="15723" width="10.42578125" style="2" customWidth="1"/>
    <col min="15724" max="15724" width="10.28515625" style="2" customWidth="1"/>
    <col min="15725" max="15726" width="9.140625" style="2" bestFit="1" customWidth="1"/>
    <col min="15727" max="15727" width="10" style="2" customWidth="1"/>
    <col min="15728" max="15728" width="9.140625" style="2" customWidth="1"/>
    <col min="15729" max="15729" width="9.85546875" style="2" customWidth="1"/>
    <col min="15730" max="15730" width="9.5703125" style="2" customWidth="1"/>
    <col min="15731" max="15731" width="10.85546875" style="2" customWidth="1"/>
    <col min="15732" max="15732" width="10.5703125" style="2" customWidth="1"/>
    <col min="15733" max="15733" width="10.28515625" style="2" customWidth="1"/>
    <col min="15734" max="15734" width="9.5703125" style="2" customWidth="1"/>
    <col min="15735" max="15735" width="9.28515625" style="2" customWidth="1"/>
    <col min="15736" max="15736" width="10.28515625" style="2" customWidth="1"/>
    <col min="15737" max="15737" width="10" style="2" customWidth="1"/>
    <col min="15738" max="15738" width="9" style="2" customWidth="1"/>
    <col min="15739" max="15739" width="10.42578125" style="2" customWidth="1"/>
    <col min="15740" max="15741" width="9.85546875" style="2" customWidth="1"/>
    <col min="15742" max="15742" width="10" style="2" customWidth="1"/>
    <col min="15743" max="15743" width="8.28515625" style="2" customWidth="1"/>
    <col min="15744" max="15744" width="9.85546875" style="2" customWidth="1"/>
    <col min="15745" max="15745" width="11.5703125" style="2" customWidth="1"/>
    <col min="15746" max="15746" width="9.140625" style="2" bestFit="1" customWidth="1"/>
    <col min="15747" max="15747" width="10" style="2" customWidth="1"/>
    <col min="15748" max="15748" width="8" style="2" customWidth="1"/>
    <col min="15749" max="15749" width="11.28515625" style="2" customWidth="1"/>
    <col min="15750" max="15752" width="10.140625" style="2" bestFit="1" customWidth="1"/>
    <col min="15753" max="15753" width="12.28515625" style="2" customWidth="1"/>
    <col min="15754" max="15755" width="5.7109375" style="2"/>
    <col min="15756" max="15756" width="10.28515625" style="2" bestFit="1" customWidth="1"/>
    <col min="15757" max="15762" width="5.7109375" style="2"/>
    <col min="15763" max="15763" width="22" style="2" customWidth="1"/>
    <col min="15764" max="15764" width="16" style="2" customWidth="1"/>
    <col min="15765" max="15765" width="7.140625" style="2" bestFit="1" customWidth="1"/>
    <col min="15766" max="15766" width="9.28515625" style="2" bestFit="1" customWidth="1"/>
    <col min="15767" max="15827" width="5.7109375" style="2"/>
    <col min="15828" max="15828" width="29.42578125" style="2" customWidth="1"/>
    <col min="15829" max="15829" width="4.7109375" style="2" customWidth="1"/>
    <col min="15830" max="15831" width="9.7109375" style="2" customWidth="1"/>
    <col min="15832" max="15832" width="9.42578125" style="2" customWidth="1"/>
    <col min="15833" max="15833" width="9.140625" style="2" customWidth="1"/>
    <col min="15834" max="15834" width="8.85546875" style="2" customWidth="1"/>
    <col min="15835" max="15835" width="9.7109375" style="2" customWidth="1"/>
    <col min="15836" max="15836" width="8.140625" style="2" customWidth="1"/>
    <col min="15837" max="15837" width="10.42578125" style="2" customWidth="1"/>
    <col min="15838" max="15838" width="9.140625" style="2" customWidth="1"/>
    <col min="15839" max="15839" width="9.85546875" style="2" customWidth="1"/>
    <col min="15840" max="15840" width="9.42578125" style="2" customWidth="1"/>
    <col min="15841" max="15841" width="9.5703125" style="2" customWidth="1"/>
    <col min="15842" max="15842" width="9.28515625" style="2" customWidth="1"/>
    <col min="15843" max="15843" width="9.140625" style="2" customWidth="1"/>
    <col min="15844" max="15844" width="9.28515625" style="2" bestFit="1" customWidth="1"/>
    <col min="15845" max="15845" width="10.5703125" style="2" customWidth="1"/>
    <col min="15846" max="15846" width="7.7109375" style="2" customWidth="1"/>
    <col min="15847" max="15847" width="9.140625" style="2" customWidth="1"/>
    <col min="15848" max="15848" width="7.85546875" style="2" customWidth="1"/>
    <col min="15849" max="15849" width="8.7109375" style="2" customWidth="1"/>
    <col min="15850" max="15850" width="9.42578125" style="2" customWidth="1"/>
    <col min="15851" max="15851" width="10.28515625" style="2" customWidth="1"/>
    <col min="15852" max="15852" width="9.85546875" style="2" customWidth="1"/>
    <col min="15853" max="15853" width="10.140625" style="2" customWidth="1"/>
    <col min="15854" max="15855" width="8.140625" style="2" customWidth="1"/>
    <col min="15856" max="15857" width="7.85546875" style="2" customWidth="1"/>
    <col min="15858" max="15858" width="9.140625" style="2" customWidth="1"/>
    <col min="15859" max="15859" width="9.7109375" style="2" customWidth="1"/>
    <col min="15860" max="15860" width="8.28515625" style="2" customWidth="1"/>
    <col min="15861" max="15861" width="9.140625" style="2" customWidth="1"/>
    <col min="15862" max="15862" width="10" style="2" customWidth="1"/>
    <col min="15863" max="15863" width="10.28515625" style="2" customWidth="1"/>
    <col min="15864" max="15864" width="9.85546875" style="2" customWidth="1"/>
    <col min="15865" max="15865" width="9.42578125" style="2" customWidth="1"/>
    <col min="15866" max="15866" width="9.7109375" style="2" customWidth="1"/>
    <col min="15867" max="15867" width="9.42578125" style="2" customWidth="1"/>
    <col min="15868" max="15868" width="9.28515625" style="2" customWidth="1"/>
    <col min="15869" max="15869" width="10.5703125" style="2" customWidth="1"/>
    <col min="15870" max="15871" width="8.85546875" style="2" customWidth="1"/>
    <col min="15872" max="15872" width="8.28515625" style="2" customWidth="1"/>
    <col min="15873" max="15873" width="8.85546875" style="2" customWidth="1"/>
    <col min="15874" max="15874" width="9.5703125" style="2" customWidth="1"/>
    <col min="15875" max="15875" width="8.42578125" style="2" customWidth="1"/>
    <col min="15876" max="15876" width="9.5703125" style="2" customWidth="1"/>
    <col min="15877" max="15877" width="8.28515625" style="2" customWidth="1"/>
    <col min="15878" max="15878" width="9.28515625" style="2" customWidth="1"/>
    <col min="15879" max="15879" width="9.85546875" style="2" customWidth="1"/>
    <col min="15880" max="15880" width="10.28515625" style="2" customWidth="1"/>
    <col min="15881" max="15881" width="10.42578125" style="2" customWidth="1"/>
    <col min="15882" max="15882" width="9.5703125" style="2" customWidth="1"/>
    <col min="15883" max="15883" width="10.140625" style="2" customWidth="1"/>
    <col min="15884" max="15884" width="9.5703125" style="2" customWidth="1"/>
    <col min="15885" max="15885" width="10.28515625" style="2" customWidth="1"/>
    <col min="15886" max="15886" width="10" style="2" customWidth="1"/>
    <col min="15887" max="15887" width="9.140625" style="2" customWidth="1"/>
    <col min="15888" max="15888" width="10.5703125" style="2" customWidth="1"/>
    <col min="15889" max="15889" width="9.28515625" style="2" customWidth="1"/>
    <col min="15890" max="15891" width="9.42578125" style="2" customWidth="1"/>
    <col min="15892" max="15892" width="9" style="2" customWidth="1"/>
    <col min="15893" max="15893" width="11" style="2" customWidth="1"/>
    <col min="15894" max="15894" width="9.28515625" style="2" customWidth="1"/>
    <col min="15895" max="15895" width="9.7109375" style="2" customWidth="1"/>
    <col min="15896" max="15896" width="10.85546875" style="2" customWidth="1"/>
    <col min="15897" max="15897" width="10.5703125" style="2" customWidth="1"/>
    <col min="15898" max="15898" width="10.28515625" style="2" customWidth="1"/>
    <col min="15899" max="15899" width="9.85546875" style="2" customWidth="1"/>
    <col min="15900" max="15900" width="10.28515625" style="2" customWidth="1"/>
    <col min="15901" max="15901" width="9" style="2" customWidth="1"/>
    <col min="15902" max="15902" width="9.85546875" style="2" customWidth="1"/>
    <col min="15903" max="15903" width="9.42578125" style="2" customWidth="1"/>
    <col min="15904" max="15904" width="9.140625" style="2" customWidth="1"/>
    <col min="15905" max="15905" width="11" style="2" customWidth="1"/>
    <col min="15906" max="15906" width="9.28515625" style="2" customWidth="1"/>
    <col min="15907" max="15907" width="9.5703125" style="2" customWidth="1"/>
    <col min="15908" max="15908" width="10.42578125" style="2" customWidth="1"/>
    <col min="15909" max="15909" width="9" style="2" customWidth="1"/>
    <col min="15910" max="15910" width="9.7109375" style="2" customWidth="1"/>
    <col min="15911" max="15911" width="10" style="2" customWidth="1"/>
    <col min="15912" max="15912" width="10.7109375" style="2" customWidth="1"/>
    <col min="15913" max="15913" width="9.42578125" style="2" customWidth="1"/>
    <col min="15914" max="15914" width="10.28515625" style="2" customWidth="1"/>
    <col min="15915" max="15915" width="9.5703125" style="2" customWidth="1"/>
    <col min="15916" max="15916" width="10" style="2" customWidth="1"/>
    <col min="15917" max="15917" width="9" style="2" customWidth="1"/>
    <col min="15918" max="15918" width="10.5703125" style="2" customWidth="1"/>
    <col min="15919" max="15919" width="11.28515625" style="2" customWidth="1"/>
    <col min="15920" max="15920" width="10.5703125" style="2" customWidth="1"/>
    <col min="15921" max="15921" width="9.7109375" style="2" customWidth="1"/>
    <col min="15922" max="15922" width="9.5703125" style="2" customWidth="1"/>
    <col min="15923" max="15923" width="10.5703125" style="2" customWidth="1"/>
    <col min="15924" max="15924" width="10.42578125" style="2" customWidth="1"/>
    <col min="15925" max="15925" width="9.85546875" style="2" customWidth="1"/>
    <col min="15926" max="15926" width="10.5703125" style="2" bestFit="1" customWidth="1"/>
    <col min="15927" max="15929" width="10.140625" style="2" bestFit="1" customWidth="1"/>
    <col min="15930" max="15930" width="8.85546875" style="2" customWidth="1"/>
    <col min="15931" max="15931" width="9.140625" style="2" bestFit="1" customWidth="1"/>
    <col min="15932" max="15933" width="10.140625" style="2" customWidth="1"/>
    <col min="15934" max="15934" width="10" style="2" customWidth="1"/>
    <col min="15935" max="15935" width="8.28515625" style="2" customWidth="1"/>
    <col min="15936" max="15936" width="9" style="2" customWidth="1"/>
    <col min="15937" max="15937" width="10.5703125" style="2" customWidth="1"/>
    <col min="15938" max="15938" width="10.140625" style="2" customWidth="1"/>
    <col min="15939" max="15939" width="9.7109375" style="2" customWidth="1"/>
    <col min="15940" max="15940" width="9.140625" style="2" customWidth="1"/>
    <col min="15941" max="15941" width="10.140625" style="2" customWidth="1"/>
    <col min="15942" max="15942" width="9" style="2" customWidth="1"/>
    <col min="15943" max="15943" width="9.28515625" style="2" customWidth="1"/>
    <col min="15944" max="15944" width="11" style="2" customWidth="1"/>
    <col min="15945" max="15945" width="10.140625" style="2" customWidth="1"/>
    <col min="15946" max="15946" width="10.7109375" style="2" customWidth="1"/>
    <col min="15947" max="15947" width="9.85546875" style="2" customWidth="1"/>
    <col min="15948" max="15948" width="11" style="2" customWidth="1"/>
    <col min="15949" max="15949" width="10" style="2" customWidth="1"/>
    <col min="15950" max="15950" width="9.140625" style="2" customWidth="1"/>
    <col min="15951" max="15951" width="10.28515625" style="2" customWidth="1"/>
    <col min="15952" max="15952" width="10.5703125" style="2" customWidth="1"/>
    <col min="15953" max="15953" width="9.85546875" style="2" customWidth="1"/>
    <col min="15954" max="15954" width="10.7109375" style="2" customWidth="1"/>
    <col min="15955" max="15955" width="9.42578125" style="2" customWidth="1"/>
    <col min="15956" max="15956" width="10.42578125" style="2" customWidth="1"/>
    <col min="15957" max="15957" width="9.85546875" style="2" customWidth="1"/>
    <col min="15958" max="15958" width="10.7109375" style="2" customWidth="1"/>
    <col min="15959" max="15959" width="10.140625" style="2" customWidth="1"/>
    <col min="15960" max="15960" width="10.28515625" style="2" customWidth="1"/>
    <col min="15961" max="15961" width="9" style="2" customWidth="1"/>
    <col min="15962" max="15962" width="11.140625" style="2" customWidth="1"/>
    <col min="15963" max="15963" width="10.28515625" style="2" customWidth="1"/>
    <col min="15964" max="15964" width="9.42578125" style="2" customWidth="1"/>
    <col min="15965" max="15965" width="10.42578125" style="2" customWidth="1"/>
    <col min="15966" max="15966" width="9.42578125" style="2" customWidth="1"/>
    <col min="15967" max="15967" width="9" style="2" customWidth="1"/>
    <col min="15968" max="15968" width="10.28515625" style="2" customWidth="1"/>
    <col min="15969" max="15969" width="8.42578125" style="2" customWidth="1"/>
    <col min="15970" max="15970" width="9.7109375" style="2" customWidth="1"/>
    <col min="15971" max="15971" width="8.7109375" style="2" customWidth="1"/>
    <col min="15972" max="15972" width="9.42578125" style="2" customWidth="1"/>
    <col min="15973" max="15973" width="10.85546875" style="2" customWidth="1"/>
    <col min="15974" max="15974" width="9.7109375" style="2" customWidth="1"/>
    <col min="15975" max="15975" width="11.42578125" style="2" customWidth="1"/>
    <col min="15976" max="15976" width="11" style="2" customWidth="1"/>
    <col min="15977" max="15977" width="9.42578125" style="2" customWidth="1"/>
    <col min="15978" max="15978" width="10.28515625" style="2" customWidth="1"/>
    <col min="15979" max="15979" width="10.42578125" style="2" customWidth="1"/>
    <col min="15980" max="15980" width="10.28515625" style="2" customWidth="1"/>
    <col min="15981" max="15982" width="9.140625" style="2" bestFit="1" customWidth="1"/>
    <col min="15983" max="15983" width="10" style="2" customWidth="1"/>
    <col min="15984" max="15984" width="9.140625" style="2" customWidth="1"/>
    <col min="15985" max="15985" width="9.85546875" style="2" customWidth="1"/>
    <col min="15986" max="15986" width="9.5703125" style="2" customWidth="1"/>
    <col min="15987" max="15987" width="10.85546875" style="2" customWidth="1"/>
    <col min="15988" max="15988" width="10.5703125" style="2" customWidth="1"/>
    <col min="15989" max="15989" width="10.28515625" style="2" customWidth="1"/>
    <col min="15990" max="15990" width="9.5703125" style="2" customWidth="1"/>
    <col min="15991" max="15991" width="9.28515625" style="2" customWidth="1"/>
    <col min="15992" max="15992" width="10.28515625" style="2" customWidth="1"/>
    <col min="15993" max="15993" width="10" style="2" customWidth="1"/>
    <col min="15994" max="15994" width="9" style="2" customWidth="1"/>
    <col min="15995" max="15995" width="10.42578125" style="2" customWidth="1"/>
    <col min="15996" max="15997" width="9.85546875" style="2" customWidth="1"/>
    <col min="15998" max="15998" width="10" style="2" customWidth="1"/>
    <col min="15999" max="15999" width="8.28515625" style="2" customWidth="1"/>
    <col min="16000" max="16000" width="9.85546875" style="2" customWidth="1"/>
    <col min="16001" max="16001" width="11.5703125" style="2" customWidth="1"/>
    <col min="16002" max="16002" width="9.140625" style="2" bestFit="1" customWidth="1"/>
    <col min="16003" max="16003" width="10" style="2" customWidth="1"/>
    <col min="16004" max="16004" width="8" style="2" customWidth="1"/>
    <col min="16005" max="16005" width="11.28515625" style="2" customWidth="1"/>
    <col min="16006" max="16008" width="10.140625" style="2" bestFit="1" customWidth="1"/>
    <col min="16009" max="16009" width="12.28515625" style="2" customWidth="1"/>
    <col min="16010" max="16011" width="5.7109375" style="2"/>
    <col min="16012" max="16012" width="10.28515625" style="2" bestFit="1" customWidth="1"/>
    <col min="16013" max="16018" width="5.7109375" style="2"/>
    <col min="16019" max="16019" width="22" style="2" customWidth="1"/>
    <col min="16020" max="16020" width="16" style="2" customWidth="1"/>
    <col min="16021" max="16021" width="7.140625" style="2" bestFit="1" customWidth="1"/>
    <col min="16022" max="16022" width="9.28515625" style="2" bestFit="1" customWidth="1"/>
    <col min="16023" max="16083" width="5.7109375" style="2"/>
    <col min="16084" max="16084" width="29.42578125" style="2" customWidth="1"/>
    <col min="16085" max="16085" width="4.7109375" style="2" customWidth="1"/>
    <col min="16086" max="16087" width="9.7109375" style="2" customWidth="1"/>
    <col min="16088" max="16088" width="9.42578125" style="2" customWidth="1"/>
    <col min="16089" max="16089" width="9.140625" style="2" customWidth="1"/>
    <col min="16090" max="16090" width="8.85546875" style="2" customWidth="1"/>
    <col min="16091" max="16091" width="9.7109375" style="2" customWidth="1"/>
    <col min="16092" max="16092" width="8.140625" style="2" customWidth="1"/>
    <col min="16093" max="16093" width="10.42578125" style="2" customWidth="1"/>
    <col min="16094" max="16094" width="9.140625" style="2" customWidth="1"/>
    <col min="16095" max="16095" width="9.85546875" style="2" customWidth="1"/>
    <col min="16096" max="16096" width="9.42578125" style="2" customWidth="1"/>
    <col min="16097" max="16097" width="9.5703125" style="2" customWidth="1"/>
    <col min="16098" max="16098" width="9.28515625" style="2" customWidth="1"/>
    <col min="16099" max="16099" width="9.140625" style="2" customWidth="1"/>
    <col min="16100" max="16100" width="9.28515625" style="2" bestFit="1" customWidth="1"/>
    <col min="16101" max="16101" width="10.5703125" style="2" customWidth="1"/>
    <col min="16102" max="16102" width="7.7109375" style="2" customWidth="1"/>
    <col min="16103" max="16103" width="9.140625" style="2" customWidth="1"/>
    <col min="16104" max="16104" width="7.85546875" style="2" customWidth="1"/>
    <col min="16105" max="16105" width="8.7109375" style="2" customWidth="1"/>
    <col min="16106" max="16106" width="9.42578125" style="2" customWidth="1"/>
    <col min="16107" max="16107" width="10.28515625" style="2" customWidth="1"/>
    <col min="16108" max="16108" width="9.85546875" style="2" customWidth="1"/>
    <col min="16109" max="16109" width="10.140625" style="2" customWidth="1"/>
    <col min="16110" max="16111" width="8.140625" style="2" customWidth="1"/>
    <col min="16112" max="16113" width="7.85546875" style="2" customWidth="1"/>
    <col min="16114" max="16114" width="9.140625" style="2" customWidth="1"/>
    <col min="16115" max="16115" width="9.7109375" style="2" customWidth="1"/>
    <col min="16116" max="16116" width="8.28515625" style="2" customWidth="1"/>
    <col min="16117" max="16117" width="9.140625" style="2" customWidth="1"/>
    <col min="16118" max="16118" width="10" style="2" customWidth="1"/>
    <col min="16119" max="16119" width="10.28515625" style="2" customWidth="1"/>
    <col min="16120" max="16120" width="9.85546875" style="2" customWidth="1"/>
    <col min="16121" max="16121" width="9.42578125" style="2" customWidth="1"/>
    <col min="16122" max="16122" width="9.7109375" style="2" customWidth="1"/>
    <col min="16123" max="16123" width="9.42578125" style="2" customWidth="1"/>
    <col min="16124" max="16124" width="9.28515625" style="2" customWidth="1"/>
    <col min="16125" max="16125" width="10.5703125" style="2" customWidth="1"/>
    <col min="16126" max="16127" width="8.85546875" style="2" customWidth="1"/>
    <col min="16128" max="16128" width="8.28515625" style="2" customWidth="1"/>
    <col min="16129" max="16129" width="8.85546875" style="2" customWidth="1"/>
    <col min="16130" max="16130" width="9.5703125" style="2" customWidth="1"/>
    <col min="16131" max="16131" width="8.42578125" style="2" customWidth="1"/>
    <col min="16132" max="16132" width="9.5703125" style="2" customWidth="1"/>
    <col min="16133" max="16133" width="8.28515625" style="2" customWidth="1"/>
    <col min="16134" max="16134" width="9.28515625" style="2" customWidth="1"/>
    <col min="16135" max="16135" width="9.85546875" style="2" customWidth="1"/>
    <col min="16136" max="16136" width="10.28515625" style="2" customWidth="1"/>
    <col min="16137" max="16137" width="10.42578125" style="2" customWidth="1"/>
    <col min="16138" max="16138" width="9.5703125" style="2" customWidth="1"/>
    <col min="16139" max="16139" width="10.140625" style="2" customWidth="1"/>
    <col min="16140" max="16140" width="9.5703125" style="2" customWidth="1"/>
    <col min="16141" max="16141" width="10.28515625" style="2" customWidth="1"/>
    <col min="16142" max="16142" width="10" style="2" customWidth="1"/>
    <col min="16143" max="16143" width="9.140625" style="2" customWidth="1"/>
    <col min="16144" max="16144" width="10.5703125" style="2" customWidth="1"/>
    <col min="16145" max="16145" width="9.28515625" style="2" customWidth="1"/>
    <col min="16146" max="16147" width="9.42578125" style="2" customWidth="1"/>
    <col min="16148" max="16148" width="9" style="2" customWidth="1"/>
    <col min="16149" max="16149" width="11" style="2" customWidth="1"/>
    <col min="16150" max="16150" width="9.28515625" style="2" customWidth="1"/>
    <col min="16151" max="16151" width="9.7109375" style="2" customWidth="1"/>
    <col min="16152" max="16152" width="10.85546875" style="2" customWidth="1"/>
    <col min="16153" max="16153" width="10.5703125" style="2" customWidth="1"/>
    <col min="16154" max="16154" width="10.28515625" style="2" customWidth="1"/>
    <col min="16155" max="16155" width="9.85546875" style="2" customWidth="1"/>
    <col min="16156" max="16156" width="10.28515625" style="2" customWidth="1"/>
    <col min="16157" max="16157" width="9" style="2" customWidth="1"/>
    <col min="16158" max="16158" width="9.85546875" style="2" customWidth="1"/>
    <col min="16159" max="16159" width="9.42578125" style="2" customWidth="1"/>
    <col min="16160" max="16160" width="9.140625" style="2" customWidth="1"/>
    <col min="16161" max="16161" width="11" style="2" customWidth="1"/>
    <col min="16162" max="16162" width="9.28515625" style="2" customWidth="1"/>
    <col min="16163" max="16163" width="9.5703125" style="2" customWidth="1"/>
    <col min="16164" max="16164" width="10.42578125" style="2" customWidth="1"/>
    <col min="16165" max="16165" width="9" style="2" customWidth="1"/>
    <col min="16166" max="16166" width="9.7109375" style="2" customWidth="1"/>
    <col min="16167" max="16167" width="10" style="2" customWidth="1"/>
    <col min="16168" max="16168" width="10.7109375" style="2" customWidth="1"/>
    <col min="16169" max="16169" width="9.42578125" style="2" customWidth="1"/>
    <col min="16170" max="16170" width="10.28515625" style="2" customWidth="1"/>
    <col min="16171" max="16171" width="9.5703125" style="2" customWidth="1"/>
    <col min="16172" max="16172" width="10" style="2" customWidth="1"/>
    <col min="16173" max="16173" width="9" style="2" customWidth="1"/>
    <col min="16174" max="16174" width="10.5703125" style="2" customWidth="1"/>
    <col min="16175" max="16175" width="11.28515625" style="2" customWidth="1"/>
    <col min="16176" max="16176" width="10.5703125" style="2" customWidth="1"/>
    <col min="16177" max="16177" width="9.7109375" style="2" customWidth="1"/>
    <col min="16178" max="16178" width="9.5703125" style="2" customWidth="1"/>
    <col min="16179" max="16179" width="10.5703125" style="2" customWidth="1"/>
    <col min="16180" max="16180" width="10.42578125" style="2" customWidth="1"/>
    <col min="16181" max="16181" width="9.85546875" style="2" customWidth="1"/>
    <col min="16182" max="16182" width="10.5703125" style="2" bestFit="1" customWidth="1"/>
    <col min="16183" max="16185" width="10.140625" style="2" bestFit="1" customWidth="1"/>
    <col min="16186" max="16186" width="8.85546875" style="2" customWidth="1"/>
    <col min="16187" max="16187" width="9.140625" style="2" bestFit="1" customWidth="1"/>
    <col min="16188" max="16189" width="10.140625" style="2" customWidth="1"/>
    <col min="16190" max="16190" width="10" style="2" customWidth="1"/>
    <col min="16191" max="16191" width="8.28515625" style="2" customWidth="1"/>
    <col min="16192" max="16192" width="9" style="2" customWidth="1"/>
    <col min="16193" max="16193" width="10.5703125" style="2" customWidth="1"/>
    <col min="16194" max="16194" width="10.140625" style="2" customWidth="1"/>
    <col min="16195" max="16195" width="9.7109375" style="2" customWidth="1"/>
    <col min="16196" max="16196" width="9.140625" style="2" customWidth="1"/>
    <col min="16197" max="16197" width="10.140625" style="2" customWidth="1"/>
    <col min="16198" max="16198" width="9" style="2" customWidth="1"/>
    <col min="16199" max="16199" width="9.28515625" style="2" customWidth="1"/>
    <col min="16200" max="16200" width="11" style="2" customWidth="1"/>
    <col min="16201" max="16201" width="10.140625" style="2" customWidth="1"/>
    <col min="16202" max="16202" width="10.7109375" style="2" customWidth="1"/>
    <col min="16203" max="16203" width="9.85546875" style="2" customWidth="1"/>
    <col min="16204" max="16204" width="11" style="2" customWidth="1"/>
    <col min="16205" max="16205" width="10" style="2" customWidth="1"/>
    <col min="16206" max="16206" width="9.140625" style="2" customWidth="1"/>
    <col min="16207" max="16207" width="10.28515625" style="2" customWidth="1"/>
    <col min="16208" max="16208" width="10.5703125" style="2" customWidth="1"/>
    <col min="16209" max="16209" width="9.85546875" style="2" customWidth="1"/>
    <col min="16210" max="16210" width="10.7109375" style="2" customWidth="1"/>
    <col min="16211" max="16211" width="9.42578125" style="2" customWidth="1"/>
    <col min="16212" max="16212" width="10.42578125" style="2" customWidth="1"/>
    <col min="16213" max="16213" width="9.85546875" style="2" customWidth="1"/>
    <col min="16214" max="16214" width="10.7109375" style="2" customWidth="1"/>
    <col min="16215" max="16215" width="10.140625" style="2" customWidth="1"/>
    <col min="16216" max="16216" width="10.28515625" style="2" customWidth="1"/>
    <col min="16217" max="16217" width="9" style="2" customWidth="1"/>
    <col min="16218" max="16218" width="11.140625" style="2" customWidth="1"/>
    <col min="16219" max="16219" width="10.28515625" style="2" customWidth="1"/>
    <col min="16220" max="16220" width="9.42578125" style="2" customWidth="1"/>
    <col min="16221" max="16221" width="10.42578125" style="2" customWidth="1"/>
    <col min="16222" max="16222" width="9.42578125" style="2" customWidth="1"/>
    <col min="16223" max="16223" width="9" style="2" customWidth="1"/>
    <col min="16224" max="16224" width="10.28515625" style="2" customWidth="1"/>
    <col min="16225" max="16225" width="8.42578125" style="2" customWidth="1"/>
    <col min="16226" max="16226" width="9.7109375" style="2" customWidth="1"/>
    <col min="16227" max="16227" width="8.7109375" style="2" customWidth="1"/>
    <col min="16228" max="16228" width="9.42578125" style="2" customWidth="1"/>
    <col min="16229" max="16229" width="10.85546875" style="2" customWidth="1"/>
    <col min="16230" max="16230" width="9.7109375" style="2" customWidth="1"/>
    <col min="16231" max="16231" width="11.42578125" style="2" customWidth="1"/>
    <col min="16232" max="16232" width="11" style="2" customWidth="1"/>
    <col min="16233" max="16233" width="9.42578125" style="2" customWidth="1"/>
    <col min="16234" max="16234" width="10.28515625" style="2" customWidth="1"/>
    <col min="16235" max="16235" width="10.42578125" style="2" customWidth="1"/>
    <col min="16236" max="16236" width="10.28515625" style="2" customWidth="1"/>
    <col min="16237" max="16238" width="9.140625" style="2" bestFit="1" customWidth="1"/>
    <col min="16239" max="16239" width="10" style="2" customWidth="1"/>
    <col min="16240" max="16240" width="9.140625" style="2" customWidth="1"/>
    <col min="16241" max="16241" width="9.85546875" style="2" customWidth="1"/>
    <col min="16242" max="16242" width="9.5703125" style="2" customWidth="1"/>
    <col min="16243" max="16243" width="10.85546875" style="2" customWidth="1"/>
    <col min="16244" max="16244" width="10.5703125" style="2" customWidth="1"/>
    <col min="16245" max="16245" width="10.28515625" style="2" customWidth="1"/>
    <col min="16246" max="16246" width="9.5703125" style="2" customWidth="1"/>
    <col min="16247" max="16247" width="9.28515625" style="2" customWidth="1"/>
    <col min="16248" max="16248" width="10.28515625" style="2" customWidth="1"/>
    <col min="16249" max="16249" width="10" style="2" customWidth="1"/>
    <col min="16250" max="16250" width="9" style="2" customWidth="1"/>
    <col min="16251" max="16251" width="10.42578125" style="2" customWidth="1"/>
    <col min="16252" max="16253" width="9.85546875" style="2" customWidth="1"/>
    <col min="16254" max="16254" width="10" style="2" customWidth="1"/>
    <col min="16255" max="16255" width="8.28515625" style="2" customWidth="1"/>
    <col min="16256" max="16256" width="9.85546875" style="2" customWidth="1"/>
    <col min="16257" max="16257" width="11.5703125" style="2" customWidth="1"/>
    <col min="16258" max="16258" width="9.140625" style="2" bestFit="1" customWidth="1"/>
    <col min="16259" max="16259" width="10" style="2" customWidth="1"/>
    <col min="16260" max="16260" width="8" style="2" customWidth="1"/>
    <col min="16261" max="16261" width="11.28515625" style="2" customWidth="1"/>
    <col min="16262" max="16264" width="10.140625" style="2" bestFit="1" customWidth="1"/>
    <col min="16265" max="16265" width="12.28515625" style="2" customWidth="1"/>
    <col min="16266" max="16267" width="5.7109375" style="2"/>
    <col min="16268" max="16268" width="10.28515625" style="2" bestFit="1" customWidth="1"/>
    <col min="16269" max="16274" width="5.7109375" style="2"/>
    <col min="16275" max="16275" width="22" style="2" customWidth="1"/>
    <col min="16276" max="16276" width="16" style="2" customWidth="1"/>
    <col min="16277" max="16277" width="7.140625" style="2" bestFit="1" customWidth="1"/>
    <col min="16278" max="16278" width="9.28515625" style="2" bestFit="1" customWidth="1"/>
    <col min="16279" max="16384" width="5.7109375" style="2"/>
  </cols>
  <sheetData>
    <row r="1" spans="1:148">
      <c r="A1" s="1" t="s">
        <v>187</v>
      </c>
    </row>
    <row r="2" spans="1:148">
      <c r="A2" s="4" t="s">
        <v>1</v>
      </c>
    </row>
    <row r="3" spans="1:148">
      <c r="A3" s="2" t="s">
        <v>2</v>
      </c>
    </row>
    <row r="4" spans="1:148" s="5" customFormat="1" ht="15.75" thickBot="1">
      <c r="A4" s="5" t="s">
        <v>188</v>
      </c>
      <c r="E4" s="6"/>
      <c r="H4" s="6"/>
      <c r="K4" s="6"/>
      <c r="W4" s="6"/>
      <c r="Z4" s="6"/>
      <c r="AC4" s="6"/>
      <c r="AR4" s="6"/>
      <c r="AU4" s="6"/>
      <c r="AX4" s="6"/>
      <c r="BA4" s="6"/>
      <c r="BD4" s="6"/>
      <c r="BG4" s="6"/>
      <c r="BV4" s="6"/>
      <c r="BY4" s="6"/>
      <c r="CQ4" s="6"/>
      <c r="CT4" s="6"/>
      <c r="CW4" s="6"/>
      <c r="CZ4" s="6"/>
      <c r="DF4" s="6"/>
      <c r="DI4" s="6"/>
      <c r="DL4" s="6"/>
      <c r="DO4" s="6"/>
      <c r="DR4" s="6"/>
      <c r="ER4" s="70"/>
    </row>
    <row r="5" spans="1:148" ht="24" customHeight="1" thickBot="1">
      <c r="A5" s="7" t="s">
        <v>189</v>
      </c>
      <c r="B5" s="8" t="s">
        <v>5</v>
      </c>
      <c r="C5" s="12" t="s">
        <v>6</v>
      </c>
      <c r="D5" s="12"/>
      <c r="E5" s="10"/>
      <c r="F5" s="9"/>
      <c r="G5" s="9"/>
      <c r="H5" s="10"/>
      <c r="I5" s="11" t="s">
        <v>7</v>
      </c>
      <c r="J5" s="11"/>
      <c r="K5" s="14"/>
      <c r="L5" s="15" t="s">
        <v>9</v>
      </c>
      <c r="M5" s="16"/>
      <c r="N5" s="9"/>
      <c r="O5" s="17"/>
      <c r="P5" s="17"/>
      <c r="Q5" s="9"/>
      <c r="R5" s="11" t="s">
        <v>7</v>
      </c>
      <c r="S5" s="18"/>
      <c r="T5" s="19"/>
      <c r="U5" s="20" t="s">
        <v>10</v>
      </c>
      <c r="V5" s="20"/>
      <c r="W5" s="10"/>
      <c r="X5" s="20"/>
      <c r="Y5" s="22"/>
      <c r="Z5" s="10"/>
      <c r="AA5" s="11" t="s">
        <v>7</v>
      </c>
      <c r="AB5" s="18"/>
      <c r="AC5" s="19"/>
      <c r="AD5" s="21" t="s">
        <v>190</v>
      </c>
      <c r="AE5" s="21"/>
      <c r="AF5" s="9"/>
      <c r="AG5" s="21"/>
      <c r="AH5" s="21"/>
      <c r="AI5" s="9"/>
      <c r="AJ5" s="21"/>
      <c r="AK5" s="21"/>
      <c r="AL5" s="9"/>
      <c r="AM5" s="390" t="s">
        <v>7</v>
      </c>
      <c r="AN5" s="391"/>
      <c r="AO5" s="392"/>
      <c r="AP5" s="71"/>
      <c r="AQ5" s="72"/>
      <c r="AR5" s="73"/>
      <c r="AS5" s="397" t="s">
        <v>191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8"/>
      <c r="BW5" s="390" t="s">
        <v>7</v>
      </c>
      <c r="BX5" s="391"/>
      <c r="BY5" s="392"/>
      <c r="BZ5" s="396" t="s">
        <v>192</v>
      </c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8"/>
      <c r="CR5" s="390" t="s">
        <v>7</v>
      </c>
      <c r="CS5" s="391"/>
      <c r="CT5" s="392"/>
      <c r="CU5" s="396" t="s">
        <v>13</v>
      </c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8"/>
      <c r="DS5" s="390" t="s">
        <v>7</v>
      </c>
      <c r="DT5" s="391"/>
      <c r="DU5" s="392"/>
      <c r="DV5" s="393" t="s">
        <v>193</v>
      </c>
      <c r="DW5" s="394"/>
      <c r="DX5" s="394"/>
      <c r="DY5" s="394"/>
      <c r="DZ5" s="394"/>
      <c r="EA5" s="395"/>
      <c r="EB5" s="390" t="s">
        <v>7</v>
      </c>
      <c r="EC5" s="391"/>
      <c r="ED5" s="392"/>
      <c r="EE5" s="13" t="s">
        <v>14</v>
      </c>
      <c r="EF5" s="13"/>
      <c r="EG5" s="13"/>
      <c r="EH5" s="8" t="s">
        <v>5</v>
      </c>
    </row>
    <row r="6" spans="1:148" s="89" customFormat="1" ht="38.450000000000003" customHeight="1" thickBot="1">
      <c r="A6" s="298"/>
      <c r="B6" s="299"/>
      <c r="C6" s="300" t="s">
        <v>15</v>
      </c>
      <c r="D6" s="300"/>
      <c r="E6" s="301"/>
      <c r="F6" s="302" t="s">
        <v>194</v>
      </c>
      <c r="G6" s="302"/>
      <c r="H6" s="303"/>
      <c r="I6" s="300" t="s">
        <v>17</v>
      </c>
      <c r="J6" s="300"/>
      <c r="K6" s="304"/>
      <c r="L6" s="305" t="s">
        <v>23</v>
      </c>
      <c r="M6" s="306"/>
      <c r="N6" s="307"/>
      <c r="O6" s="306" t="s">
        <v>195</v>
      </c>
      <c r="P6" s="306"/>
      <c r="Q6" s="307"/>
      <c r="R6" s="372" t="s">
        <v>30</v>
      </c>
      <c r="S6" s="373"/>
      <c r="T6" s="374"/>
      <c r="U6" s="306" t="s">
        <v>196</v>
      </c>
      <c r="V6" s="305"/>
      <c r="W6" s="308"/>
      <c r="X6" s="305" t="s">
        <v>197</v>
      </c>
      <c r="Y6" s="306"/>
      <c r="Z6" s="309"/>
      <c r="AA6" s="372" t="s">
        <v>34</v>
      </c>
      <c r="AB6" s="373"/>
      <c r="AC6" s="374"/>
      <c r="AD6" s="307" t="s">
        <v>198</v>
      </c>
      <c r="AE6" s="307"/>
      <c r="AF6" s="307"/>
      <c r="AG6" s="310" t="s">
        <v>199</v>
      </c>
      <c r="AH6" s="310"/>
      <c r="AI6" s="311"/>
      <c r="AJ6" s="312" t="s">
        <v>200</v>
      </c>
      <c r="AK6" s="312"/>
      <c r="AL6" s="307"/>
      <c r="AM6" s="357" t="s">
        <v>48</v>
      </c>
      <c r="AN6" s="358"/>
      <c r="AO6" s="359"/>
      <c r="AP6" s="366" t="s">
        <v>201</v>
      </c>
      <c r="AQ6" s="367"/>
      <c r="AR6" s="368"/>
      <c r="AS6" s="366" t="s">
        <v>202</v>
      </c>
      <c r="AT6" s="367"/>
      <c r="AU6" s="368"/>
      <c r="AV6" s="366" t="s">
        <v>203</v>
      </c>
      <c r="AW6" s="367"/>
      <c r="AX6" s="368"/>
      <c r="AY6" s="312" t="s">
        <v>204</v>
      </c>
      <c r="AZ6" s="312"/>
      <c r="BA6" s="309"/>
      <c r="BB6" s="312" t="s">
        <v>205</v>
      </c>
      <c r="BC6" s="312"/>
      <c r="BD6" s="309"/>
      <c r="BE6" s="312" t="s">
        <v>206</v>
      </c>
      <c r="BF6" s="312"/>
      <c r="BG6" s="309"/>
      <c r="BH6" s="312" t="s">
        <v>207</v>
      </c>
      <c r="BI6" s="312"/>
      <c r="BJ6" s="307"/>
      <c r="BK6" s="312" t="s">
        <v>208</v>
      </c>
      <c r="BL6" s="312"/>
      <c r="BM6" s="307"/>
      <c r="BN6" s="310" t="s">
        <v>209</v>
      </c>
      <c r="BO6" s="312"/>
      <c r="BP6" s="307"/>
      <c r="BQ6" s="310" t="s">
        <v>210</v>
      </c>
      <c r="BR6" s="312"/>
      <c r="BS6" s="307"/>
      <c r="BT6" s="313" t="s">
        <v>211</v>
      </c>
      <c r="BU6" s="314"/>
      <c r="BV6" s="315"/>
      <c r="BW6" s="357" t="s">
        <v>212</v>
      </c>
      <c r="BX6" s="358"/>
      <c r="BY6" s="359"/>
      <c r="BZ6" s="366" t="s">
        <v>213</v>
      </c>
      <c r="CA6" s="367"/>
      <c r="CB6" s="368"/>
      <c r="CC6" s="310" t="s">
        <v>51</v>
      </c>
      <c r="CD6" s="306"/>
      <c r="CE6" s="316"/>
      <c r="CF6" s="305" t="s">
        <v>214</v>
      </c>
      <c r="CG6" s="306"/>
      <c r="CH6" s="307"/>
      <c r="CI6" s="306" t="s">
        <v>215</v>
      </c>
      <c r="CJ6" s="306"/>
      <c r="CK6" s="307"/>
      <c r="CL6" s="306" t="s">
        <v>216</v>
      </c>
      <c r="CM6" s="306"/>
      <c r="CN6" s="307"/>
      <c r="CO6" s="306" t="s">
        <v>217</v>
      </c>
      <c r="CP6" s="305"/>
      <c r="CQ6" s="308"/>
      <c r="CR6" s="357" t="s">
        <v>53</v>
      </c>
      <c r="CS6" s="358"/>
      <c r="CT6" s="359"/>
      <c r="CU6" s="302" t="s">
        <v>218</v>
      </c>
      <c r="CV6" s="317"/>
      <c r="CW6" s="304"/>
      <c r="CX6" s="318" t="s">
        <v>219</v>
      </c>
      <c r="CY6" s="318"/>
      <c r="CZ6" s="303"/>
      <c r="DA6" s="302" t="s">
        <v>220</v>
      </c>
      <c r="DB6" s="317"/>
      <c r="DC6" s="304"/>
      <c r="DD6" s="300" t="s">
        <v>221</v>
      </c>
      <c r="DE6" s="317"/>
      <c r="DF6" s="304"/>
      <c r="DG6" s="319" t="s">
        <v>222</v>
      </c>
      <c r="DH6" s="319"/>
      <c r="DI6" s="317"/>
      <c r="DJ6" s="320" t="s">
        <v>223</v>
      </c>
      <c r="DK6" s="320"/>
      <c r="DL6" s="320"/>
      <c r="DM6" s="320" t="s">
        <v>224</v>
      </c>
      <c r="DN6" s="319"/>
      <c r="DO6" s="304"/>
      <c r="DP6" s="320" t="s">
        <v>225</v>
      </c>
      <c r="DQ6" s="319"/>
      <c r="DR6" s="304"/>
      <c r="DS6" s="357" t="s">
        <v>56</v>
      </c>
      <c r="DT6" s="358"/>
      <c r="DU6" s="359"/>
      <c r="DV6" s="321" t="s">
        <v>226</v>
      </c>
      <c r="DW6" s="322"/>
      <c r="DX6" s="308"/>
      <c r="DY6" s="323" t="s">
        <v>227</v>
      </c>
      <c r="DZ6" s="324"/>
      <c r="EA6" s="325"/>
      <c r="EB6" s="357" t="s">
        <v>228</v>
      </c>
      <c r="EC6" s="358"/>
      <c r="ED6" s="359"/>
      <c r="EE6" s="326" t="s">
        <v>229</v>
      </c>
      <c r="EF6" s="326"/>
      <c r="EG6" s="317"/>
      <c r="EH6" s="299"/>
      <c r="ER6" s="327"/>
    </row>
    <row r="7" spans="1:148" s="333" customFormat="1" ht="24.75" customHeight="1" thickBot="1">
      <c r="A7" s="328"/>
      <c r="B7" s="329"/>
      <c r="C7" s="330" t="s">
        <v>58</v>
      </c>
      <c r="D7" s="330" t="s">
        <v>59</v>
      </c>
      <c r="E7" s="331" t="s">
        <v>60</v>
      </c>
      <c r="F7" s="330" t="s">
        <v>58</v>
      </c>
      <c r="G7" s="330" t="s">
        <v>59</v>
      </c>
      <c r="H7" s="331" t="s">
        <v>60</v>
      </c>
      <c r="I7" s="330" t="s">
        <v>58</v>
      </c>
      <c r="J7" s="330" t="s">
        <v>59</v>
      </c>
      <c r="K7" s="331" t="s">
        <v>60</v>
      </c>
      <c r="L7" s="330" t="s">
        <v>58</v>
      </c>
      <c r="M7" s="330" t="s">
        <v>59</v>
      </c>
      <c r="N7" s="331" t="s">
        <v>60</v>
      </c>
      <c r="O7" s="330" t="s">
        <v>58</v>
      </c>
      <c r="P7" s="330" t="s">
        <v>59</v>
      </c>
      <c r="Q7" s="331" t="s">
        <v>60</v>
      </c>
      <c r="R7" s="330" t="s">
        <v>58</v>
      </c>
      <c r="S7" s="330" t="s">
        <v>59</v>
      </c>
      <c r="T7" s="331" t="s">
        <v>60</v>
      </c>
      <c r="U7" s="330" t="s">
        <v>58</v>
      </c>
      <c r="V7" s="330" t="s">
        <v>59</v>
      </c>
      <c r="W7" s="331" t="s">
        <v>60</v>
      </c>
      <c r="X7" s="330" t="s">
        <v>58</v>
      </c>
      <c r="Y7" s="330" t="s">
        <v>59</v>
      </c>
      <c r="Z7" s="331" t="s">
        <v>60</v>
      </c>
      <c r="AA7" s="330" t="s">
        <v>58</v>
      </c>
      <c r="AB7" s="330" t="s">
        <v>59</v>
      </c>
      <c r="AC7" s="331" t="s">
        <v>60</v>
      </c>
      <c r="AD7" s="330" t="s">
        <v>58</v>
      </c>
      <c r="AE7" s="330" t="s">
        <v>59</v>
      </c>
      <c r="AF7" s="331" t="s">
        <v>60</v>
      </c>
      <c r="AG7" s="330" t="s">
        <v>58</v>
      </c>
      <c r="AH7" s="330" t="s">
        <v>59</v>
      </c>
      <c r="AI7" s="331" t="s">
        <v>60</v>
      </c>
      <c r="AJ7" s="330" t="s">
        <v>58</v>
      </c>
      <c r="AK7" s="330" t="s">
        <v>59</v>
      </c>
      <c r="AL7" s="331" t="s">
        <v>60</v>
      </c>
      <c r="AM7" s="330" t="s">
        <v>58</v>
      </c>
      <c r="AN7" s="330" t="s">
        <v>59</v>
      </c>
      <c r="AO7" s="331" t="s">
        <v>60</v>
      </c>
      <c r="AP7" s="330" t="s">
        <v>58</v>
      </c>
      <c r="AQ7" s="330" t="s">
        <v>59</v>
      </c>
      <c r="AR7" s="331" t="s">
        <v>60</v>
      </c>
      <c r="AS7" s="330" t="s">
        <v>230</v>
      </c>
      <c r="AT7" s="330" t="s">
        <v>231</v>
      </c>
      <c r="AU7" s="331" t="s">
        <v>232</v>
      </c>
      <c r="AV7" s="330" t="s">
        <v>58</v>
      </c>
      <c r="AW7" s="330" t="s">
        <v>59</v>
      </c>
      <c r="AX7" s="331" t="s">
        <v>60</v>
      </c>
      <c r="AY7" s="330" t="s">
        <v>58</v>
      </c>
      <c r="AZ7" s="330" t="s">
        <v>59</v>
      </c>
      <c r="BA7" s="331" t="s">
        <v>60</v>
      </c>
      <c r="BB7" s="330" t="s">
        <v>58</v>
      </c>
      <c r="BC7" s="330" t="s">
        <v>59</v>
      </c>
      <c r="BD7" s="331" t="s">
        <v>60</v>
      </c>
      <c r="BE7" s="330" t="s">
        <v>58</v>
      </c>
      <c r="BF7" s="330" t="s">
        <v>59</v>
      </c>
      <c r="BG7" s="331" t="s">
        <v>60</v>
      </c>
      <c r="BH7" s="330" t="s">
        <v>58</v>
      </c>
      <c r="BI7" s="330" t="s">
        <v>59</v>
      </c>
      <c r="BJ7" s="331" t="s">
        <v>60</v>
      </c>
      <c r="BK7" s="330" t="s">
        <v>58</v>
      </c>
      <c r="BL7" s="330" t="s">
        <v>59</v>
      </c>
      <c r="BM7" s="331" t="s">
        <v>60</v>
      </c>
      <c r="BN7" s="330" t="s">
        <v>58</v>
      </c>
      <c r="BO7" s="330" t="s">
        <v>59</v>
      </c>
      <c r="BP7" s="331" t="s">
        <v>60</v>
      </c>
      <c r="BQ7" s="330" t="s">
        <v>58</v>
      </c>
      <c r="BR7" s="330" t="s">
        <v>59</v>
      </c>
      <c r="BS7" s="331" t="s">
        <v>60</v>
      </c>
      <c r="BT7" s="330" t="s">
        <v>58</v>
      </c>
      <c r="BU7" s="330" t="s">
        <v>59</v>
      </c>
      <c r="BV7" s="331" t="s">
        <v>60</v>
      </c>
      <c r="BW7" s="330" t="s">
        <v>58</v>
      </c>
      <c r="BX7" s="330" t="s">
        <v>59</v>
      </c>
      <c r="BY7" s="331" t="s">
        <v>60</v>
      </c>
      <c r="BZ7" s="330" t="s">
        <v>58</v>
      </c>
      <c r="CA7" s="330" t="s">
        <v>59</v>
      </c>
      <c r="CB7" s="331" t="s">
        <v>60</v>
      </c>
      <c r="CC7" s="330" t="s">
        <v>58</v>
      </c>
      <c r="CD7" s="330" t="s">
        <v>59</v>
      </c>
      <c r="CE7" s="331" t="s">
        <v>60</v>
      </c>
      <c r="CF7" s="330" t="s">
        <v>58</v>
      </c>
      <c r="CG7" s="330" t="s">
        <v>59</v>
      </c>
      <c r="CH7" s="331" t="s">
        <v>60</v>
      </c>
      <c r="CI7" s="330" t="s">
        <v>58</v>
      </c>
      <c r="CJ7" s="330" t="s">
        <v>59</v>
      </c>
      <c r="CK7" s="331" t="s">
        <v>60</v>
      </c>
      <c r="CL7" s="330" t="s">
        <v>58</v>
      </c>
      <c r="CM7" s="330" t="s">
        <v>59</v>
      </c>
      <c r="CN7" s="331" t="s">
        <v>60</v>
      </c>
      <c r="CO7" s="330" t="s">
        <v>58</v>
      </c>
      <c r="CP7" s="330" t="s">
        <v>59</v>
      </c>
      <c r="CQ7" s="331" t="s">
        <v>60</v>
      </c>
      <c r="CR7" s="330" t="s">
        <v>58</v>
      </c>
      <c r="CS7" s="330" t="s">
        <v>59</v>
      </c>
      <c r="CT7" s="331" t="s">
        <v>60</v>
      </c>
      <c r="CU7" s="330" t="s">
        <v>58</v>
      </c>
      <c r="CV7" s="330" t="s">
        <v>59</v>
      </c>
      <c r="CW7" s="331" t="s">
        <v>60</v>
      </c>
      <c r="CX7" s="330" t="s">
        <v>58</v>
      </c>
      <c r="CY7" s="330" t="s">
        <v>59</v>
      </c>
      <c r="CZ7" s="331" t="s">
        <v>60</v>
      </c>
      <c r="DA7" s="330" t="s">
        <v>58</v>
      </c>
      <c r="DB7" s="330" t="s">
        <v>59</v>
      </c>
      <c r="DC7" s="331" t="s">
        <v>60</v>
      </c>
      <c r="DD7" s="330" t="s">
        <v>58</v>
      </c>
      <c r="DE7" s="330" t="s">
        <v>59</v>
      </c>
      <c r="DF7" s="331" t="s">
        <v>60</v>
      </c>
      <c r="DG7" s="330" t="s">
        <v>58</v>
      </c>
      <c r="DH7" s="330" t="s">
        <v>59</v>
      </c>
      <c r="DI7" s="331" t="s">
        <v>60</v>
      </c>
      <c r="DJ7" s="330" t="s">
        <v>58</v>
      </c>
      <c r="DK7" s="330" t="s">
        <v>59</v>
      </c>
      <c r="DL7" s="331" t="s">
        <v>60</v>
      </c>
      <c r="DM7" s="330" t="s">
        <v>58</v>
      </c>
      <c r="DN7" s="332" t="s">
        <v>59</v>
      </c>
      <c r="DO7" s="331" t="s">
        <v>60</v>
      </c>
      <c r="DP7" s="330" t="s">
        <v>58</v>
      </c>
      <c r="DQ7" s="330" t="s">
        <v>59</v>
      </c>
      <c r="DR7" s="331" t="s">
        <v>60</v>
      </c>
      <c r="DS7" s="330" t="s">
        <v>58</v>
      </c>
      <c r="DT7" s="330" t="s">
        <v>59</v>
      </c>
      <c r="DU7" s="331" t="s">
        <v>60</v>
      </c>
      <c r="DV7" s="330" t="s">
        <v>58</v>
      </c>
      <c r="DW7" s="330" t="s">
        <v>59</v>
      </c>
      <c r="DX7" s="331" t="s">
        <v>60</v>
      </c>
      <c r="DY7" s="330" t="s">
        <v>58</v>
      </c>
      <c r="DZ7" s="330" t="s">
        <v>59</v>
      </c>
      <c r="EA7" s="331" t="s">
        <v>60</v>
      </c>
      <c r="EB7" s="330" t="s">
        <v>58</v>
      </c>
      <c r="EC7" s="330" t="s">
        <v>59</v>
      </c>
      <c r="ED7" s="331" t="s">
        <v>60</v>
      </c>
      <c r="EE7" s="330" t="s">
        <v>58</v>
      </c>
      <c r="EF7" s="330" t="s">
        <v>59</v>
      </c>
      <c r="EG7" s="331" t="s">
        <v>60</v>
      </c>
      <c r="EH7" s="329"/>
      <c r="ER7" s="334"/>
    </row>
    <row r="8" spans="1:148" s="32" customFormat="1" ht="13.5" customHeight="1">
      <c r="A8" s="24" t="s">
        <v>61</v>
      </c>
      <c r="B8" s="25" t="s">
        <v>62</v>
      </c>
      <c r="C8" s="85">
        <f>SUM(C9:C10)</f>
        <v>0</v>
      </c>
      <c r="D8" s="85">
        <f>SUM(D9:D10)</f>
        <v>0</v>
      </c>
      <c r="E8" s="85">
        <f t="shared" ref="E8:AZ8" si="0">SUM(E9:E10)</f>
        <v>0</v>
      </c>
      <c r="F8" s="80">
        <f>SUM(F9:F10)</f>
        <v>70635</v>
      </c>
      <c r="G8" s="85">
        <f>SUM(G9:G10)</f>
        <v>70635</v>
      </c>
      <c r="H8" s="85">
        <f t="shared" si="0"/>
        <v>84000</v>
      </c>
      <c r="I8" s="85">
        <f t="shared" si="0"/>
        <v>70635</v>
      </c>
      <c r="J8" s="85">
        <f t="shared" si="0"/>
        <v>70635</v>
      </c>
      <c r="K8" s="85">
        <f t="shared" si="0"/>
        <v>84000</v>
      </c>
      <c r="L8" s="85">
        <f>SUM(L9:L10)</f>
        <v>0</v>
      </c>
      <c r="M8" s="85">
        <f>SUM(M9:M10)</f>
        <v>0</v>
      </c>
      <c r="N8" s="85">
        <f t="shared" si="0"/>
        <v>0</v>
      </c>
      <c r="O8" s="80">
        <f t="shared" si="0"/>
        <v>24912</v>
      </c>
      <c r="P8" s="85">
        <f>SUM(P9:P10)</f>
        <v>27450</v>
      </c>
      <c r="Q8" s="85">
        <f t="shared" si="0"/>
        <v>0</v>
      </c>
      <c r="R8" s="91">
        <f t="shared" si="0"/>
        <v>24912</v>
      </c>
      <c r="S8" s="91">
        <f t="shared" si="0"/>
        <v>27450</v>
      </c>
      <c r="T8" s="91">
        <f t="shared" si="0"/>
        <v>0</v>
      </c>
      <c r="U8" s="85">
        <f>SUM(U9:U10)</f>
        <v>0</v>
      </c>
      <c r="V8" s="85">
        <f>SUM(V9:V10)</f>
        <v>0</v>
      </c>
      <c r="W8" s="85">
        <f t="shared" si="0"/>
        <v>0</v>
      </c>
      <c r="X8" s="85">
        <f>SUM(X9:X10)</f>
        <v>0</v>
      </c>
      <c r="Y8" s="85">
        <f>SUM(Y9:Y10)</f>
        <v>0</v>
      </c>
      <c r="Z8" s="85">
        <f t="shared" si="0"/>
        <v>0</v>
      </c>
      <c r="AA8" s="91">
        <f t="shared" si="0"/>
        <v>0</v>
      </c>
      <c r="AB8" s="91">
        <f t="shared" si="0"/>
        <v>0</v>
      </c>
      <c r="AC8" s="91">
        <f t="shared" si="0"/>
        <v>0</v>
      </c>
      <c r="AD8" s="80">
        <f t="shared" si="0"/>
        <v>279400</v>
      </c>
      <c r="AE8" s="85">
        <f>SUM(AE9:AE10)</f>
        <v>279400</v>
      </c>
      <c r="AF8" s="85">
        <f t="shared" si="0"/>
        <v>336720</v>
      </c>
      <c r="AG8" s="85">
        <f>SUM(AG9:AG10)</f>
        <v>0</v>
      </c>
      <c r="AH8" s="85">
        <f>SUM(AH9:AH10)</f>
        <v>0</v>
      </c>
      <c r="AI8" s="85">
        <f t="shared" si="0"/>
        <v>0</v>
      </c>
      <c r="AJ8" s="85">
        <f>SUM(AJ9:AJ10)</f>
        <v>0</v>
      </c>
      <c r="AK8" s="85">
        <f>SUM(AK9:AK10)</f>
        <v>0</v>
      </c>
      <c r="AL8" s="85">
        <f t="shared" si="0"/>
        <v>0</v>
      </c>
      <c r="AM8" s="91">
        <f t="shared" si="0"/>
        <v>279400</v>
      </c>
      <c r="AN8" s="91">
        <f t="shared" si="0"/>
        <v>279400</v>
      </c>
      <c r="AO8" s="91">
        <f t="shared" si="0"/>
        <v>336720</v>
      </c>
      <c r="AP8" s="85">
        <f t="shared" si="0"/>
        <v>0</v>
      </c>
      <c r="AQ8" s="85">
        <f t="shared" si="0"/>
        <v>0</v>
      </c>
      <c r="AR8" s="85">
        <f t="shared" si="0"/>
        <v>0</v>
      </c>
      <c r="AS8" s="85">
        <f t="shared" si="0"/>
        <v>0</v>
      </c>
      <c r="AT8" s="85">
        <f t="shared" si="0"/>
        <v>0</v>
      </c>
      <c r="AU8" s="85">
        <f t="shared" si="0"/>
        <v>0</v>
      </c>
      <c r="AV8" s="85">
        <f t="shared" si="0"/>
        <v>0</v>
      </c>
      <c r="AW8" s="85">
        <f t="shared" si="0"/>
        <v>0</v>
      </c>
      <c r="AX8" s="85">
        <f t="shared" si="0"/>
        <v>0</v>
      </c>
      <c r="AY8" s="85">
        <f t="shared" si="0"/>
        <v>0</v>
      </c>
      <c r="AZ8" s="85">
        <f t="shared" si="0"/>
        <v>0</v>
      </c>
      <c r="BA8" s="85">
        <f t="shared" ref="BA8:CV8" si="1">SUM(BA9:BA10)</f>
        <v>0</v>
      </c>
      <c r="BB8" s="92">
        <f>SUM(BB9)</f>
        <v>76500</v>
      </c>
      <c r="BC8" s="91">
        <f>SUM(BC9)</f>
        <v>76500</v>
      </c>
      <c r="BD8" s="85">
        <f t="shared" si="1"/>
        <v>89400</v>
      </c>
      <c r="BE8" s="85">
        <f t="shared" si="1"/>
        <v>0</v>
      </c>
      <c r="BF8" s="85">
        <f t="shared" si="1"/>
        <v>0</v>
      </c>
      <c r="BG8" s="85">
        <f t="shared" si="1"/>
        <v>0</v>
      </c>
      <c r="BH8" s="85">
        <f t="shared" si="1"/>
        <v>0</v>
      </c>
      <c r="BI8" s="85">
        <f t="shared" si="1"/>
        <v>0</v>
      </c>
      <c r="BJ8" s="85">
        <f t="shared" si="1"/>
        <v>0</v>
      </c>
      <c r="BK8" s="85">
        <f t="shared" si="1"/>
        <v>0</v>
      </c>
      <c r="BL8" s="85">
        <f t="shared" si="1"/>
        <v>0</v>
      </c>
      <c r="BM8" s="85">
        <f t="shared" si="1"/>
        <v>0</v>
      </c>
      <c r="BN8" s="80">
        <f t="shared" si="1"/>
        <v>0</v>
      </c>
      <c r="BO8" s="85">
        <f>SUM(BO9:BO10)</f>
        <v>0</v>
      </c>
      <c r="BP8" s="85">
        <f t="shared" si="1"/>
        <v>0</v>
      </c>
      <c r="BQ8" s="92">
        <f>SUM(BQ9)</f>
        <v>294900</v>
      </c>
      <c r="BR8" s="91">
        <f>SUM(BR9)</f>
        <v>294900</v>
      </c>
      <c r="BS8" s="85">
        <f t="shared" si="1"/>
        <v>354000</v>
      </c>
      <c r="BT8" s="85">
        <f t="shared" si="1"/>
        <v>0</v>
      </c>
      <c r="BU8" s="85">
        <f t="shared" si="1"/>
        <v>0</v>
      </c>
      <c r="BV8" s="85">
        <f t="shared" si="1"/>
        <v>0</v>
      </c>
      <c r="BW8" s="91">
        <f t="shared" si="1"/>
        <v>371400</v>
      </c>
      <c r="BX8" s="91">
        <f t="shared" si="1"/>
        <v>371400</v>
      </c>
      <c r="BY8" s="91">
        <f t="shared" si="1"/>
        <v>443400</v>
      </c>
      <c r="BZ8" s="80">
        <f>SUM(BZ9:BZ10)</f>
        <v>0</v>
      </c>
      <c r="CA8" s="85">
        <f>SUM(CA9:CA10)</f>
        <v>0</v>
      </c>
      <c r="CB8" s="85">
        <f t="shared" si="1"/>
        <v>0</v>
      </c>
      <c r="CC8" s="85">
        <f t="shared" si="1"/>
        <v>0</v>
      </c>
      <c r="CD8" s="85">
        <f t="shared" si="1"/>
        <v>0</v>
      </c>
      <c r="CE8" s="85">
        <f t="shared" si="1"/>
        <v>0</v>
      </c>
      <c r="CF8" s="80">
        <f>SUM(CF9:CF10)</f>
        <v>216750</v>
      </c>
      <c r="CG8" s="85">
        <f>SUM(CG9:CG10)</f>
        <v>216750</v>
      </c>
      <c r="CH8" s="85">
        <f t="shared" si="1"/>
        <v>252000</v>
      </c>
      <c r="CI8" s="85">
        <f t="shared" si="1"/>
        <v>0</v>
      </c>
      <c r="CJ8" s="85">
        <f t="shared" si="1"/>
        <v>0</v>
      </c>
      <c r="CK8" s="85">
        <f t="shared" si="1"/>
        <v>0</v>
      </c>
      <c r="CL8" s="93"/>
      <c r="CM8" s="85">
        <f>SUM(CM9:CM10)</f>
        <v>0</v>
      </c>
      <c r="CN8" s="85">
        <f t="shared" si="1"/>
        <v>0</v>
      </c>
      <c r="CO8" s="80">
        <f>SUM(CO9:CO10)</f>
        <v>146625</v>
      </c>
      <c r="CP8" s="85">
        <f>SUM(CP9:CP10)</f>
        <v>146625</v>
      </c>
      <c r="CQ8" s="85">
        <f t="shared" si="1"/>
        <v>150000</v>
      </c>
      <c r="CR8" s="85">
        <f t="shared" si="1"/>
        <v>363375</v>
      </c>
      <c r="CS8" s="85">
        <f t="shared" si="1"/>
        <v>363375</v>
      </c>
      <c r="CT8" s="85">
        <f t="shared" si="1"/>
        <v>402000</v>
      </c>
      <c r="CU8" s="85">
        <f t="shared" si="1"/>
        <v>0</v>
      </c>
      <c r="CV8" s="85">
        <f t="shared" si="1"/>
        <v>0</v>
      </c>
      <c r="CW8" s="85">
        <f t="shared" ref="CW8:EG8" si="2">SUM(CW9:CW10)</f>
        <v>0</v>
      </c>
      <c r="CX8" s="85">
        <f t="shared" si="2"/>
        <v>0</v>
      </c>
      <c r="CY8" s="85">
        <f t="shared" si="2"/>
        <v>0</v>
      </c>
      <c r="CZ8" s="85">
        <f t="shared" si="2"/>
        <v>0</v>
      </c>
      <c r="DA8" s="85">
        <f t="shared" si="2"/>
        <v>0</v>
      </c>
      <c r="DB8" s="85">
        <f t="shared" si="2"/>
        <v>0</v>
      </c>
      <c r="DC8" s="85">
        <f t="shared" si="2"/>
        <v>0</v>
      </c>
      <c r="DD8" s="80">
        <f>SUM(DD9:DD10)</f>
        <v>200400</v>
      </c>
      <c r="DE8" s="85">
        <f>SUM(DE9:DE10)</f>
        <v>200400</v>
      </c>
      <c r="DF8" s="85">
        <f t="shared" si="2"/>
        <v>237300</v>
      </c>
      <c r="DG8" s="80">
        <f>SUM(DG9:DG10)</f>
        <v>202000</v>
      </c>
      <c r="DH8" s="85">
        <f>SUM(DH9:DH10)</f>
        <v>202000</v>
      </c>
      <c r="DI8" s="85">
        <f t="shared" si="2"/>
        <v>243600</v>
      </c>
      <c r="DJ8" s="85">
        <f t="shared" si="2"/>
        <v>415125</v>
      </c>
      <c r="DK8" s="85">
        <f t="shared" si="2"/>
        <v>415125</v>
      </c>
      <c r="DL8" s="85">
        <f t="shared" si="2"/>
        <v>484800</v>
      </c>
      <c r="DM8" s="80">
        <f>SUM(DM9:DM10)</f>
        <v>133875</v>
      </c>
      <c r="DN8" s="85">
        <f>SUM(DN9:DN10)</f>
        <v>133875</v>
      </c>
      <c r="DO8" s="85">
        <f t="shared" si="2"/>
        <v>166800</v>
      </c>
      <c r="DP8" s="80">
        <f>SUM(DP9:DP10)</f>
        <v>281250</v>
      </c>
      <c r="DQ8" s="85">
        <f>SUM(DQ9:DQ10)</f>
        <v>281250</v>
      </c>
      <c r="DR8" s="85">
        <f t="shared" si="2"/>
        <v>318000</v>
      </c>
      <c r="DS8" s="85">
        <f t="shared" si="2"/>
        <v>817525</v>
      </c>
      <c r="DT8" s="85">
        <f t="shared" si="2"/>
        <v>817525</v>
      </c>
      <c r="DU8" s="85">
        <f t="shared" si="2"/>
        <v>965700</v>
      </c>
      <c r="DV8" s="85">
        <f t="shared" si="2"/>
        <v>0</v>
      </c>
      <c r="DW8" s="85">
        <f t="shared" si="2"/>
        <v>0</v>
      </c>
      <c r="DX8" s="85">
        <f t="shared" si="2"/>
        <v>0</v>
      </c>
      <c r="DY8" s="85">
        <f t="shared" si="2"/>
        <v>0</v>
      </c>
      <c r="DZ8" s="85">
        <f t="shared" si="2"/>
        <v>0</v>
      </c>
      <c r="EA8" s="85">
        <f t="shared" si="2"/>
        <v>0</v>
      </c>
      <c r="EB8" s="85">
        <f t="shared" si="2"/>
        <v>0</v>
      </c>
      <c r="EC8" s="85">
        <f t="shared" si="2"/>
        <v>0</v>
      </c>
      <c r="ED8" s="85">
        <f t="shared" si="2"/>
        <v>0</v>
      </c>
      <c r="EE8" s="91">
        <f t="shared" si="2"/>
        <v>1927247</v>
      </c>
      <c r="EF8" s="91">
        <f t="shared" si="2"/>
        <v>1929785</v>
      </c>
      <c r="EG8" s="91">
        <f t="shared" si="2"/>
        <v>2231820</v>
      </c>
      <c r="EH8" s="94" t="s">
        <v>62</v>
      </c>
      <c r="ER8" s="59"/>
    </row>
    <row r="9" spans="1:148">
      <c r="A9" s="33" t="s">
        <v>63</v>
      </c>
      <c r="B9" s="34" t="s">
        <v>64</v>
      </c>
      <c r="C9" s="81"/>
      <c r="D9" s="81"/>
      <c r="E9" s="81"/>
      <c r="F9" s="87">
        <v>70635</v>
      </c>
      <c r="G9" s="87">
        <v>70635</v>
      </c>
      <c r="H9" s="81">
        <f>7000*12</f>
        <v>84000</v>
      </c>
      <c r="I9" s="81">
        <f t="shared" ref="I9:K10" si="3">SUM(C9,F9)</f>
        <v>70635</v>
      </c>
      <c r="J9" s="81">
        <f t="shared" si="3"/>
        <v>70635</v>
      </c>
      <c r="K9" s="81">
        <f t="shared" si="3"/>
        <v>84000</v>
      </c>
      <c r="L9" s="81"/>
      <c r="M9" s="81"/>
      <c r="N9" s="81"/>
      <c r="O9" s="81">
        <v>24912</v>
      </c>
      <c r="P9" s="81">
        <f>24912+423+2115</f>
        <v>27450</v>
      </c>
      <c r="Q9" s="81"/>
      <c r="R9" s="87">
        <f t="shared" ref="R9:T10" si="4">SUM(L9,O9)</f>
        <v>24912</v>
      </c>
      <c r="S9" s="87">
        <f t="shared" si="4"/>
        <v>27450</v>
      </c>
      <c r="T9" s="87">
        <f t="shared" si="4"/>
        <v>0</v>
      </c>
      <c r="U9" s="81">
        <v>0</v>
      </c>
      <c r="V9" s="81">
        <v>0</v>
      </c>
      <c r="W9" s="81">
        <v>0</v>
      </c>
      <c r="X9" s="81"/>
      <c r="Y9" s="81"/>
      <c r="Z9" s="81"/>
      <c r="AA9" s="87">
        <f t="shared" ref="AA9:AC10" si="5">U9+X9</f>
        <v>0</v>
      </c>
      <c r="AB9" s="87">
        <f t="shared" si="5"/>
        <v>0</v>
      </c>
      <c r="AC9" s="87">
        <f t="shared" si="5"/>
        <v>0</v>
      </c>
      <c r="AD9" s="87">
        <v>279400</v>
      </c>
      <c r="AE9" s="87">
        <v>279400</v>
      </c>
      <c r="AF9" s="81">
        <v>336720</v>
      </c>
      <c r="AG9" s="81"/>
      <c r="AH9" s="81"/>
      <c r="AI9" s="81"/>
      <c r="AJ9" s="81"/>
      <c r="AK9" s="81"/>
      <c r="AL9" s="81"/>
      <c r="AM9" s="87">
        <f t="shared" ref="AM9:AO10" si="6">AD9+AG9+AJ9</f>
        <v>279400</v>
      </c>
      <c r="AN9" s="87">
        <f t="shared" si="6"/>
        <v>279400</v>
      </c>
      <c r="AO9" s="87">
        <f t="shared" si="6"/>
        <v>336720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7">
        <v>76500</v>
      </c>
      <c r="BC9" s="87">
        <v>76500</v>
      </c>
      <c r="BD9" s="81">
        <v>89400</v>
      </c>
      <c r="BE9" s="81"/>
      <c r="BF9" s="81"/>
      <c r="BG9" s="81"/>
      <c r="BH9" s="81"/>
      <c r="BI9" s="81">
        <v>0</v>
      </c>
      <c r="BJ9" s="81"/>
      <c r="BK9" s="81"/>
      <c r="BL9" s="81"/>
      <c r="BM9" s="81"/>
      <c r="BN9" s="81"/>
      <c r="BO9" s="81"/>
      <c r="BP9" s="81"/>
      <c r="BQ9" s="87">
        <v>294900</v>
      </c>
      <c r="BR9" s="87">
        <v>294900</v>
      </c>
      <c r="BS9" s="81">
        <v>354000</v>
      </c>
      <c r="BT9" s="81"/>
      <c r="BU9" s="81"/>
      <c r="BV9" s="81"/>
      <c r="BW9" s="87">
        <f>SUM(AP9,AS9,AV9,AY9,BB9,BE9,BH9,BK9,BN9,BQ9,BT9)</f>
        <v>371400</v>
      </c>
      <c r="BX9" s="87">
        <f>SUM(AQ9,AT9,AW9,AZ9,BC9,BF9,BI9,BL9,BO9,BR9,BU9)</f>
        <v>371400</v>
      </c>
      <c r="BY9" s="87">
        <f>SUM(AR9,AU9,AX9,BA9,BD9,BG9,BJ9,BM9,BP9,BS9,BV9)</f>
        <v>443400</v>
      </c>
      <c r="BZ9" s="81"/>
      <c r="CA9" s="81"/>
      <c r="CB9" s="81"/>
      <c r="CC9" s="81"/>
      <c r="CD9" s="81"/>
      <c r="CE9" s="81"/>
      <c r="CF9" s="81">
        <v>216750</v>
      </c>
      <c r="CG9" s="81">
        <v>216750</v>
      </c>
      <c r="CH9" s="81">
        <v>252000</v>
      </c>
      <c r="CI9" s="81"/>
      <c r="CJ9" s="81"/>
      <c r="CK9" s="81"/>
      <c r="CL9" s="95"/>
      <c r="CM9" s="81"/>
      <c r="CN9" s="81"/>
      <c r="CO9" s="87">
        <v>146625</v>
      </c>
      <c r="CP9" s="87">
        <v>146625</v>
      </c>
      <c r="CQ9" s="81">
        <v>150000</v>
      </c>
      <c r="CR9" s="81">
        <f>SUM(BZ9,CC9,CF9,CI9,CL9,CO9)</f>
        <v>363375</v>
      </c>
      <c r="CS9" s="81">
        <f>SUM(CA9,CD9,CG9,CJ9,CM9,CP9)</f>
        <v>363375</v>
      </c>
      <c r="CT9" s="81">
        <f>SUM(CB9,CE9,CH9,CK9,CN9,CQ9)</f>
        <v>402000</v>
      </c>
      <c r="CU9" s="81"/>
      <c r="CV9" s="81"/>
      <c r="CW9" s="81"/>
      <c r="CX9" s="81"/>
      <c r="CY9" s="81"/>
      <c r="CZ9" s="81"/>
      <c r="DA9" s="81"/>
      <c r="DB9" s="81"/>
      <c r="DC9" s="81"/>
      <c r="DD9" s="87">
        <v>200400</v>
      </c>
      <c r="DE9" s="87">
        <v>200400</v>
      </c>
      <c r="DF9" s="81">
        <v>237300</v>
      </c>
      <c r="DG9" s="81">
        <v>202000</v>
      </c>
      <c r="DH9" s="81">
        <v>202000</v>
      </c>
      <c r="DI9" s="81">
        <v>243600</v>
      </c>
      <c r="DJ9" s="81">
        <f t="shared" ref="DJ9:DL10" si="7">SUM(DM9,DP9)</f>
        <v>415125</v>
      </c>
      <c r="DK9" s="81">
        <f t="shared" si="7"/>
        <v>415125</v>
      </c>
      <c r="DL9" s="81">
        <f t="shared" si="7"/>
        <v>484800</v>
      </c>
      <c r="DM9" s="87">
        <v>133875</v>
      </c>
      <c r="DN9" s="87">
        <v>133875</v>
      </c>
      <c r="DO9" s="81">
        <v>166800</v>
      </c>
      <c r="DP9" s="81">
        <v>281250</v>
      </c>
      <c r="DQ9" s="81">
        <v>281250</v>
      </c>
      <c r="DR9" s="81">
        <v>318000</v>
      </c>
      <c r="DS9" s="81">
        <f t="shared" ref="DS9:DU10" si="8">SUM(CU9,CX9,DA9,DD9,DG9,DJ9)</f>
        <v>817525</v>
      </c>
      <c r="DT9" s="81">
        <f t="shared" si="8"/>
        <v>817525</v>
      </c>
      <c r="DU9" s="81">
        <f t="shared" si="8"/>
        <v>965700</v>
      </c>
      <c r="DV9" s="81"/>
      <c r="DW9" s="81"/>
      <c r="DX9" s="81"/>
      <c r="DY9" s="81"/>
      <c r="DZ9" s="81">
        <v>0</v>
      </c>
      <c r="EA9" s="81"/>
      <c r="EB9" s="81">
        <f>SUM(DV9,DY9)</f>
        <v>0</v>
      </c>
      <c r="EC9" s="81">
        <f>SUM(DW9,DZ9)</f>
        <v>0</v>
      </c>
      <c r="ED9" s="81">
        <f>SUM(DX9,EA9)</f>
        <v>0</v>
      </c>
      <c r="EE9" s="87">
        <f t="shared" ref="EE9:EG10" si="9">SUM(I9,R9,AA9,AM9,BW9,CR9,DS9,EB9)</f>
        <v>1927247</v>
      </c>
      <c r="EF9" s="87">
        <f t="shared" si="9"/>
        <v>1929785</v>
      </c>
      <c r="EG9" s="87">
        <f t="shared" si="9"/>
        <v>2231820</v>
      </c>
      <c r="EH9" s="96" t="s">
        <v>64</v>
      </c>
    </row>
    <row r="10" spans="1:148" ht="16.149999999999999" customHeight="1">
      <c r="A10" s="33" t="s">
        <v>65</v>
      </c>
      <c r="B10" s="34" t="s">
        <v>66</v>
      </c>
      <c r="C10" s="81">
        <v>0</v>
      </c>
      <c r="D10" s="81">
        <v>0</v>
      </c>
      <c r="E10" s="81">
        <v>0</v>
      </c>
      <c r="F10" s="95"/>
      <c r="G10" s="95"/>
      <c r="H10" s="81">
        <v>0</v>
      </c>
      <c r="I10" s="81">
        <f t="shared" si="3"/>
        <v>0</v>
      </c>
      <c r="J10" s="81">
        <f t="shared" si="3"/>
        <v>0</v>
      </c>
      <c r="K10" s="81">
        <f t="shared" si="3"/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7">
        <f t="shared" si="4"/>
        <v>0</v>
      </c>
      <c r="S10" s="87">
        <f t="shared" si="4"/>
        <v>0</v>
      </c>
      <c r="T10" s="87">
        <f t="shared" si="4"/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7">
        <f t="shared" si="5"/>
        <v>0</v>
      </c>
      <c r="AB10" s="87">
        <f t="shared" si="5"/>
        <v>0</v>
      </c>
      <c r="AC10" s="87">
        <f t="shared" si="5"/>
        <v>0</v>
      </c>
      <c r="AD10" s="87"/>
      <c r="AE10" s="87"/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7">
        <f t="shared" si="6"/>
        <v>0</v>
      </c>
      <c r="AN10" s="87">
        <f t="shared" si="6"/>
        <v>0</v>
      </c>
      <c r="AO10" s="87">
        <f t="shared" si="6"/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92"/>
      <c r="BC10" s="91"/>
      <c r="BD10" s="81">
        <v>0</v>
      </c>
      <c r="BE10" s="81">
        <v>0</v>
      </c>
      <c r="BF10" s="81">
        <v>0</v>
      </c>
      <c r="BG10" s="81">
        <v>0</v>
      </c>
      <c r="BH10" s="81">
        <v>0</v>
      </c>
      <c r="BI10" s="81"/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92"/>
      <c r="BR10" s="91"/>
      <c r="BS10" s="81"/>
      <c r="BT10" s="81">
        <v>0</v>
      </c>
      <c r="BU10" s="81">
        <v>0</v>
      </c>
      <c r="BV10" s="81">
        <v>0</v>
      </c>
      <c r="BW10" s="87">
        <f>SUM(AP10,AS10,AV10,AY10,BB10,BE10,BH10,BN10,BQ10,BT10)</f>
        <v>0</v>
      </c>
      <c r="BX10" s="87">
        <f>SUM(AQ10,AT10,AW10,AZ10,BC10,BF10,BI10,BO10,BR10,BU10)</f>
        <v>0</v>
      </c>
      <c r="BY10" s="87">
        <f>SUM(AR10,AU10,AX10,BA10,BD10,BG10,BJ10,BP10,BS10,BV10)</f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95"/>
      <c r="CM10" s="81">
        <v>0</v>
      </c>
      <c r="CN10" s="81">
        <v>0</v>
      </c>
      <c r="CO10" s="87"/>
      <c r="CP10" s="87"/>
      <c r="CQ10" s="81">
        <v>0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95"/>
      <c r="DE10" s="95"/>
      <c r="DF10" s="81">
        <v>0</v>
      </c>
      <c r="DG10" s="95"/>
      <c r="DH10" s="95"/>
      <c r="DI10" s="81">
        <v>0</v>
      </c>
      <c r="DJ10" s="81">
        <f t="shared" si="7"/>
        <v>0</v>
      </c>
      <c r="DK10" s="81">
        <f t="shared" si="7"/>
        <v>0</v>
      </c>
      <c r="DL10" s="81">
        <f t="shared" si="7"/>
        <v>0</v>
      </c>
      <c r="DM10" s="95"/>
      <c r="DN10" s="95"/>
      <c r="DO10" s="81"/>
      <c r="DP10" s="81">
        <v>0</v>
      </c>
      <c r="DQ10" s="81">
        <v>0</v>
      </c>
      <c r="DR10" s="81">
        <v>0</v>
      </c>
      <c r="DS10" s="81">
        <f t="shared" si="8"/>
        <v>0</v>
      </c>
      <c r="DT10" s="81">
        <f t="shared" si="8"/>
        <v>0</v>
      </c>
      <c r="DU10" s="81">
        <f t="shared" si="8"/>
        <v>0</v>
      </c>
      <c r="DV10" s="81">
        <v>0</v>
      </c>
      <c r="DW10" s="81">
        <v>0</v>
      </c>
      <c r="DX10" s="81">
        <v>0</v>
      </c>
      <c r="DY10" s="81">
        <v>0</v>
      </c>
      <c r="DZ10" s="81">
        <v>0</v>
      </c>
      <c r="EA10" s="81">
        <v>0</v>
      </c>
      <c r="EB10" s="81">
        <v>0</v>
      </c>
      <c r="EC10" s="81">
        <v>0</v>
      </c>
      <c r="ED10" s="81">
        <v>0</v>
      </c>
      <c r="EE10" s="87">
        <f t="shared" si="9"/>
        <v>0</v>
      </c>
      <c r="EF10" s="87">
        <f t="shared" si="9"/>
        <v>0</v>
      </c>
      <c r="EG10" s="87">
        <f t="shared" si="9"/>
        <v>0</v>
      </c>
      <c r="EH10" s="96" t="s">
        <v>66</v>
      </c>
    </row>
    <row r="11" spans="1:148" s="32" customFormat="1">
      <c r="A11" s="39" t="s">
        <v>67</v>
      </c>
      <c r="B11" s="25" t="s">
        <v>68</v>
      </c>
      <c r="C11" s="85">
        <f>SUM(C12:C16)</f>
        <v>0</v>
      </c>
      <c r="D11" s="85">
        <f>SUM(D12:D16)</f>
        <v>0</v>
      </c>
      <c r="E11" s="85">
        <f t="shared" ref="E11:AZ11" si="10">SUM(E12:E16)</f>
        <v>0</v>
      </c>
      <c r="F11" s="80">
        <f>SUM(F12:F16)</f>
        <v>580000</v>
      </c>
      <c r="G11" s="85">
        <f>SUM(G12:G16)</f>
        <v>580000</v>
      </c>
      <c r="H11" s="85">
        <f t="shared" si="10"/>
        <v>620000</v>
      </c>
      <c r="I11" s="85">
        <f t="shared" si="10"/>
        <v>580000</v>
      </c>
      <c r="J11" s="85">
        <f t="shared" si="10"/>
        <v>580000</v>
      </c>
      <c r="K11" s="85">
        <f t="shared" si="10"/>
        <v>620000</v>
      </c>
      <c r="L11" s="85">
        <f>SUM(L12:L16)</f>
        <v>0</v>
      </c>
      <c r="M11" s="85">
        <f>SUM(M12:M16)</f>
        <v>0</v>
      </c>
      <c r="N11" s="85">
        <f t="shared" si="10"/>
        <v>0</v>
      </c>
      <c r="O11" s="80">
        <f t="shared" si="10"/>
        <v>1067</v>
      </c>
      <c r="P11" s="85">
        <f>SUM(P12:P16)</f>
        <v>854</v>
      </c>
      <c r="Q11" s="85">
        <f t="shared" si="10"/>
        <v>0</v>
      </c>
      <c r="R11" s="85">
        <f t="shared" si="10"/>
        <v>1067</v>
      </c>
      <c r="S11" s="85">
        <f t="shared" si="10"/>
        <v>854</v>
      </c>
      <c r="T11" s="85">
        <f t="shared" si="10"/>
        <v>0</v>
      </c>
      <c r="U11" s="85">
        <f>SUM(U12:U16)</f>
        <v>0</v>
      </c>
      <c r="V11" s="85">
        <f>SUM(V12:V16)</f>
        <v>0</v>
      </c>
      <c r="W11" s="85">
        <f t="shared" si="10"/>
        <v>0</v>
      </c>
      <c r="X11" s="85">
        <f>SUM(X12:X16)</f>
        <v>0</v>
      </c>
      <c r="Y11" s="85">
        <f>SUM(Y12:Y16)</f>
        <v>0</v>
      </c>
      <c r="Z11" s="85">
        <f t="shared" si="10"/>
        <v>0</v>
      </c>
      <c r="AA11" s="91">
        <f t="shared" si="10"/>
        <v>0</v>
      </c>
      <c r="AB11" s="91">
        <f t="shared" si="10"/>
        <v>0</v>
      </c>
      <c r="AC11" s="91">
        <f t="shared" si="10"/>
        <v>0</v>
      </c>
      <c r="AD11" s="80">
        <f t="shared" si="10"/>
        <v>25838</v>
      </c>
      <c r="AE11" s="85">
        <f>SUM(AE12:AE16)</f>
        <v>24488</v>
      </c>
      <c r="AF11" s="85">
        <f t="shared" si="10"/>
        <v>36024</v>
      </c>
      <c r="AG11" s="85">
        <f>SUM(AG12:AG16)</f>
        <v>0</v>
      </c>
      <c r="AH11" s="85">
        <f>SUM(AH12:AH16)</f>
        <v>0</v>
      </c>
      <c r="AI11" s="85">
        <f t="shared" si="10"/>
        <v>0</v>
      </c>
      <c r="AJ11" s="85">
        <f>SUM(AJ12:AJ16)</f>
        <v>0</v>
      </c>
      <c r="AK11" s="85">
        <f>SUM(AK12:AK16)</f>
        <v>0</v>
      </c>
      <c r="AL11" s="85">
        <f t="shared" si="10"/>
        <v>0</v>
      </c>
      <c r="AM11" s="85">
        <f t="shared" si="10"/>
        <v>25838</v>
      </c>
      <c r="AN11" s="85">
        <f t="shared" si="10"/>
        <v>24488</v>
      </c>
      <c r="AO11" s="85">
        <f t="shared" si="10"/>
        <v>36024</v>
      </c>
      <c r="AP11" s="85">
        <f t="shared" si="10"/>
        <v>0</v>
      </c>
      <c r="AQ11" s="85">
        <f t="shared" si="10"/>
        <v>0</v>
      </c>
      <c r="AR11" s="85">
        <f t="shared" si="10"/>
        <v>0</v>
      </c>
      <c r="AS11" s="85">
        <f t="shared" si="10"/>
        <v>0</v>
      </c>
      <c r="AT11" s="85">
        <f t="shared" si="10"/>
        <v>0</v>
      </c>
      <c r="AU11" s="85">
        <f t="shared" si="10"/>
        <v>0</v>
      </c>
      <c r="AV11" s="85">
        <f t="shared" si="10"/>
        <v>0</v>
      </c>
      <c r="AW11" s="85">
        <f t="shared" si="10"/>
        <v>0</v>
      </c>
      <c r="AX11" s="85">
        <f t="shared" si="10"/>
        <v>0</v>
      </c>
      <c r="AY11" s="85">
        <f t="shared" si="10"/>
        <v>0</v>
      </c>
      <c r="AZ11" s="85">
        <f t="shared" si="10"/>
        <v>0</v>
      </c>
      <c r="BA11" s="85">
        <f t="shared" ref="BA11:CV11" si="11">SUM(BA12:BA16)</f>
        <v>0</v>
      </c>
      <c r="BB11" s="92">
        <f>SUM(BB12:BB16)</f>
        <v>3700</v>
      </c>
      <c r="BC11" s="91">
        <f>SUM(BC12:BC16)</f>
        <v>3700</v>
      </c>
      <c r="BD11" s="85">
        <f t="shared" si="11"/>
        <v>4380</v>
      </c>
      <c r="BE11" s="85">
        <f t="shared" si="11"/>
        <v>0</v>
      </c>
      <c r="BF11" s="85">
        <f t="shared" si="11"/>
        <v>0</v>
      </c>
      <c r="BG11" s="85">
        <f t="shared" si="11"/>
        <v>0</v>
      </c>
      <c r="BH11" s="80">
        <f>SUM(BH12:BH16)</f>
        <v>133838</v>
      </c>
      <c r="BI11" s="85">
        <f>SUM(BI12:BI16)</f>
        <v>216913</v>
      </c>
      <c r="BJ11" s="85">
        <f t="shared" si="11"/>
        <v>186260</v>
      </c>
      <c r="BK11" s="85">
        <f t="shared" si="11"/>
        <v>0</v>
      </c>
      <c r="BL11" s="85">
        <f t="shared" si="11"/>
        <v>0</v>
      </c>
      <c r="BM11" s="85">
        <f t="shared" si="11"/>
        <v>0</v>
      </c>
      <c r="BN11" s="80">
        <f t="shared" si="11"/>
        <v>7509</v>
      </c>
      <c r="BO11" s="85">
        <f>SUM(BO12:BO16)</f>
        <v>7509</v>
      </c>
      <c r="BP11" s="85">
        <f t="shared" si="11"/>
        <v>11500</v>
      </c>
      <c r="BQ11" s="92">
        <f>SUM(BQ12:BQ16)</f>
        <v>14900</v>
      </c>
      <c r="BR11" s="91">
        <f>SUM(BR12:BR16)</f>
        <v>14400</v>
      </c>
      <c r="BS11" s="85">
        <f t="shared" si="11"/>
        <v>16000</v>
      </c>
      <c r="BT11" s="85">
        <f t="shared" si="11"/>
        <v>0</v>
      </c>
      <c r="BU11" s="85">
        <f t="shared" si="11"/>
        <v>0</v>
      </c>
      <c r="BV11" s="85">
        <f t="shared" si="11"/>
        <v>0</v>
      </c>
      <c r="BW11" s="85">
        <f t="shared" si="11"/>
        <v>159947</v>
      </c>
      <c r="BX11" s="85">
        <f t="shared" si="11"/>
        <v>242522</v>
      </c>
      <c r="BY11" s="85">
        <f t="shared" si="11"/>
        <v>218140</v>
      </c>
      <c r="BZ11" s="80">
        <f>SUM(BZ12:BZ16)</f>
        <v>10000</v>
      </c>
      <c r="CA11" s="85">
        <f>SUM(CA12:CA16)</f>
        <v>10000</v>
      </c>
      <c r="CB11" s="85">
        <f t="shared" si="11"/>
        <v>0</v>
      </c>
      <c r="CC11" s="85">
        <f t="shared" si="11"/>
        <v>0</v>
      </c>
      <c r="CD11" s="85">
        <f t="shared" si="11"/>
        <v>0</v>
      </c>
      <c r="CE11" s="85">
        <f t="shared" si="11"/>
        <v>0</v>
      </c>
      <c r="CF11" s="80">
        <f>SUM(CF12:CF16)</f>
        <v>43640</v>
      </c>
      <c r="CG11" s="85">
        <f>SUM(CG12:CG16)</f>
        <v>43640</v>
      </c>
      <c r="CH11" s="85">
        <f t="shared" si="11"/>
        <v>46890</v>
      </c>
      <c r="CI11" s="85">
        <f t="shared" si="11"/>
        <v>0</v>
      </c>
      <c r="CJ11" s="85">
        <f t="shared" si="11"/>
        <v>0</v>
      </c>
      <c r="CK11" s="85">
        <f t="shared" si="11"/>
        <v>0</v>
      </c>
      <c r="CL11" s="80">
        <f>SUM(CL12:CL16)</f>
        <v>24600</v>
      </c>
      <c r="CM11" s="85">
        <f>SUM(CM12:CM16)</f>
        <v>24600</v>
      </c>
      <c r="CN11" s="85">
        <f t="shared" si="11"/>
        <v>18000</v>
      </c>
      <c r="CO11" s="80">
        <f>SUM(CO12:CO16)</f>
        <v>31960</v>
      </c>
      <c r="CP11" s="85">
        <f>SUM(CP12:CP16)</f>
        <v>39960</v>
      </c>
      <c r="CQ11" s="85">
        <f t="shared" si="11"/>
        <v>43190</v>
      </c>
      <c r="CR11" s="85">
        <f t="shared" si="11"/>
        <v>110200</v>
      </c>
      <c r="CS11" s="85">
        <f t="shared" si="11"/>
        <v>118200</v>
      </c>
      <c r="CT11" s="85">
        <f t="shared" si="11"/>
        <v>108080</v>
      </c>
      <c r="CU11" s="85">
        <f t="shared" si="11"/>
        <v>0</v>
      </c>
      <c r="CV11" s="85">
        <f t="shared" si="11"/>
        <v>0</v>
      </c>
      <c r="CW11" s="85">
        <f t="shared" ref="CW11:EG11" si="12">SUM(CW12:CW16)</f>
        <v>0</v>
      </c>
      <c r="CX11" s="85">
        <f t="shared" si="12"/>
        <v>0</v>
      </c>
      <c r="CY11" s="85">
        <f t="shared" si="12"/>
        <v>0</v>
      </c>
      <c r="CZ11" s="85">
        <f t="shared" si="12"/>
        <v>0</v>
      </c>
      <c r="DA11" s="85">
        <f t="shared" si="12"/>
        <v>0</v>
      </c>
      <c r="DB11" s="85">
        <f t="shared" si="12"/>
        <v>0</v>
      </c>
      <c r="DC11" s="85">
        <f t="shared" si="12"/>
        <v>0</v>
      </c>
      <c r="DD11" s="80">
        <f>SUM(DD12:DD16)</f>
        <v>10730</v>
      </c>
      <c r="DE11" s="85">
        <f>SUM(DE12:DE16)</f>
        <v>10730</v>
      </c>
      <c r="DF11" s="85">
        <f t="shared" si="12"/>
        <v>32200</v>
      </c>
      <c r="DG11" s="80">
        <f>SUM(DG12:DG16)</f>
        <v>62700</v>
      </c>
      <c r="DH11" s="85">
        <f>SUM(DH12:DH16)</f>
        <v>62700</v>
      </c>
      <c r="DI11" s="85">
        <f t="shared" si="12"/>
        <v>65600</v>
      </c>
      <c r="DJ11" s="85">
        <f t="shared" si="12"/>
        <v>79860</v>
      </c>
      <c r="DK11" s="85">
        <f t="shared" si="12"/>
        <v>79860</v>
      </c>
      <c r="DL11" s="85">
        <f t="shared" si="12"/>
        <v>91400</v>
      </c>
      <c r="DM11" s="80">
        <f t="shared" si="12"/>
        <v>56360</v>
      </c>
      <c r="DN11" s="85">
        <f>SUM(DN12:DN16)</f>
        <v>56360</v>
      </c>
      <c r="DO11" s="85">
        <f t="shared" si="12"/>
        <v>68900</v>
      </c>
      <c r="DP11" s="80">
        <f>SUM(DP12:DP16)</f>
        <v>23500</v>
      </c>
      <c r="DQ11" s="85">
        <f>SUM(DQ12:DQ16)</f>
        <v>23500</v>
      </c>
      <c r="DR11" s="85">
        <f t="shared" si="12"/>
        <v>22500</v>
      </c>
      <c r="DS11" s="85">
        <f t="shared" si="12"/>
        <v>153290</v>
      </c>
      <c r="DT11" s="85">
        <f t="shared" si="12"/>
        <v>153290</v>
      </c>
      <c r="DU11" s="85">
        <f t="shared" si="12"/>
        <v>189200</v>
      </c>
      <c r="DV11" s="85">
        <f t="shared" si="12"/>
        <v>0</v>
      </c>
      <c r="DW11" s="85">
        <f>SUM(DW12:DW16)</f>
        <v>0</v>
      </c>
      <c r="DX11" s="85">
        <f t="shared" si="12"/>
        <v>0</v>
      </c>
      <c r="DY11" s="85">
        <f t="shared" si="12"/>
        <v>0</v>
      </c>
      <c r="DZ11" s="85">
        <f t="shared" si="12"/>
        <v>0</v>
      </c>
      <c r="EA11" s="85">
        <f t="shared" si="12"/>
        <v>0</v>
      </c>
      <c r="EB11" s="85">
        <f t="shared" si="12"/>
        <v>0</v>
      </c>
      <c r="EC11" s="85">
        <f t="shared" si="12"/>
        <v>0</v>
      </c>
      <c r="ED11" s="85">
        <f t="shared" si="12"/>
        <v>0</v>
      </c>
      <c r="EE11" s="85">
        <f t="shared" si="12"/>
        <v>1030342</v>
      </c>
      <c r="EF11" s="85">
        <f t="shared" si="12"/>
        <v>1119354</v>
      </c>
      <c r="EG11" s="85">
        <f t="shared" si="12"/>
        <v>1171444</v>
      </c>
      <c r="EH11" s="94" t="s">
        <v>68</v>
      </c>
      <c r="ER11" s="59"/>
    </row>
    <row r="12" spans="1:148">
      <c r="A12" s="33" t="s">
        <v>69</v>
      </c>
      <c r="B12" s="34" t="s">
        <v>70</v>
      </c>
      <c r="C12" s="81">
        <v>0</v>
      </c>
      <c r="D12" s="81">
        <v>0</v>
      </c>
      <c r="E12" s="81">
        <v>0</v>
      </c>
      <c r="F12" s="87"/>
      <c r="G12" s="87"/>
      <c r="H12" s="81">
        <v>0</v>
      </c>
      <c r="I12" s="81">
        <f t="shared" ref="I12:K16" si="13">SUM(C12,F12)</f>
        <v>0</v>
      </c>
      <c r="J12" s="81">
        <f t="shared" si="13"/>
        <v>0</v>
      </c>
      <c r="K12" s="81">
        <f t="shared" si="13"/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7">
        <f t="shared" ref="R12:T16" si="14">SUM(L12,O12)</f>
        <v>0</v>
      </c>
      <c r="S12" s="87">
        <f t="shared" si="14"/>
        <v>0</v>
      </c>
      <c r="T12" s="87">
        <f t="shared" si="14"/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7">
        <f t="shared" ref="AA12:AC16" si="15">U12+X12</f>
        <v>0</v>
      </c>
      <c r="AB12" s="87">
        <f t="shared" si="15"/>
        <v>0</v>
      </c>
      <c r="AC12" s="87">
        <f t="shared" si="15"/>
        <v>0</v>
      </c>
      <c r="AD12" s="87">
        <v>5148</v>
      </c>
      <c r="AE12" s="87">
        <f>5148+3200+500</f>
        <v>8848</v>
      </c>
      <c r="AF12" s="81">
        <v>12324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7">
        <f t="shared" ref="AM12:AO16" si="16">AD12+AG12+AJ12</f>
        <v>5148</v>
      </c>
      <c r="AN12" s="87">
        <f t="shared" si="16"/>
        <v>8848</v>
      </c>
      <c r="AO12" s="87">
        <f t="shared" si="16"/>
        <v>12324</v>
      </c>
      <c r="AP12" s="81"/>
      <c r="AQ12" s="81"/>
      <c r="AR12" s="81"/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92"/>
      <c r="BC12" s="91"/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92"/>
      <c r="BR12" s="91"/>
      <c r="BS12" s="81">
        <v>0</v>
      </c>
      <c r="BT12" s="81">
        <v>0</v>
      </c>
      <c r="BU12" s="81">
        <v>0</v>
      </c>
      <c r="BV12" s="81">
        <v>0</v>
      </c>
      <c r="BW12" s="87">
        <f t="shared" ref="BW12:BY16" si="17">SUM(AP12,AS12,AV12,AY12,BB12,BE12,BH12,BK12,BN12,BQ12,BT12)</f>
        <v>0</v>
      </c>
      <c r="BX12" s="87">
        <f t="shared" si="17"/>
        <v>0</v>
      </c>
      <c r="BY12" s="87">
        <f t="shared" si="17"/>
        <v>0</v>
      </c>
      <c r="BZ12" s="81">
        <v>0</v>
      </c>
      <c r="CA12" s="81">
        <v>0</v>
      </c>
      <c r="CB12" s="81">
        <v>0</v>
      </c>
      <c r="CC12" s="81"/>
      <c r="CD12" s="81"/>
      <c r="CE12" s="81"/>
      <c r="CF12" s="81">
        <v>10200</v>
      </c>
      <c r="CG12" s="81">
        <f>10200+1530+560</f>
        <v>12290</v>
      </c>
      <c r="CH12" s="81">
        <v>12240</v>
      </c>
      <c r="CI12" s="81">
        <v>0</v>
      </c>
      <c r="CJ12" s="81">
        <v>0</v>
      </c>
      <c r="CK12" s="81">
        <v>0</v>
      </c>
      <c r="CL12" s="95"/>
      <c r="CM12" s="81">
        <v>0</v>
      </c>
      <c r="CN12" s="81">
        <v>0</v>
      </c>
      <c r="CO12" s="87"/>
      <c r="CP12" s="87"/>
      <c r="CQ12" s="81">
        <v>0</v>
      </c>
      <c r="CR12" s="81">
        <f t="shared" ref="CR12:CT16" si="18">SUM(BZ12,CC12,CF12,CI12,CL12,CO12)</f>
        <v>10200</v>
      </c>
      <c r="CS12" s="81">
        <f t="shared" si="18"/>
        <v>12290</v>
      </c>
      <c r="CT12" s="81">
        <f t="shared" si="18"/>
        <v>12240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95"/>
      <c r="DE12" s="95"/>
      <c r="DF12" s="81"/>
      <c r="DG12" s="81">
        <v>11600</v>
      </c>
      <c r="DH12" s="81">
        <f>11600+2000</f>
        <v>13600</v>
      </c>
      <c r="DI12" s="81">
        <v>13600</v>
      </c>
      <c r="DJ12" s="81">
        <f t="shared" ref="DJ12:DL16" si="19">SUM(DM12,DP12)</f>
        <v>0</v>
      </c>
      <c r="DK12" s="81">
        <f t="shared" si="19"/>
        <v>0</v>
      </c>
      <c r="DL12" s="81">
        <f t="shared" si="19"/>
        <v>0</v>
      </c>
      <c r="DM12" s="87"/>
      <c r="DN12" s="87"/>
      <c r="DO12" s="81">
        <v>0</v>
      </c>
      <c r="DP12" s="81">
        <v>0</v>
      </c>
      <c r="DQ12" s="81">
        <v>0</v>
      </c>
      <c r="DR12" s="81">
        <v>0</v>
      </c>
      <c r="DS12" s="81">
        <f t="shared" ref="DS12:DU16" si="20">SUM(CU12,CX12,DA12,DD12,DG12,DJ12)</f>
        <v>11600</v>
      </c>
      <c r="DT12" s="81">
        <f t="shared" si="20"/>
        <v>13600</v>
      </c>
      <c r="DU12" s="81">
        <f t="shared" si="20"/>
        <v>13600</v>
      </c>
      <c r="DV12" s="81">
        <v>0</v>
      </c>
      <c r="DW12" s="81">
        <v>0</v>
      </c>
      <c r="DX12" s="81">
        <v>0</v>
      </c>
      <c r="DY12" s="81">
        <v>0</v>
      </c>
      <c r="DZ12" s="81">
        <v>0</v>
      </c>
      <c r="EA12" s="81">
        <v>0</v>
      </c>
      <c r="EB12" s="81">
        <f t="shared" ref="EB12:ED16" si="21">SUM(DV12,DY12)</f>
        <v>0</v>
      </c>
      <c r="EC12" s="81">
        <f t="shared" si="21"/>
        <v>0</v>
      </c>
      <c r="ED12" s="81">
        <f t="shared" si="21"/>
        <v>0</v>
      </c>
      <c r="EE12" s="87">
        <f t="shared" ref="EE12:EG16" si="22">SUM(I12,R12,AA12,AM12,BW12,CR12,DS12,EB12)</f>
        <v>26948</v>
      </c>
      <c r="EF12" s="87">
        <f t="shared" si="22"/>
        <v>34738</v>
      </c>
      <c r="EG12" s="87">
        <f t="shared" si="22"/>
        <v>38164</v>
      </c>
      <c r="EH12" s="96" t="s">
        <v>70</v>
      </c>
    </row>
    <row r="13" spans="1:148">
      <c r="A13" s="33" t="s">
        <v>71</v>
      </c>
      <c r="B13" s="34" t="s">
        <v>72</v>
      </c>
      <c r="C13" s="81"/>
      <c r="D13" s="81"/>
      <c r="E13" s="81"/>
      <c r="F13" s="87"/>
      <c r="G13" s="87"/>
      <c r="H13" s="81"/>
      <c r="I13" s="81">
        <f t="shared" si="13"/>
        <v>0</v>
      </c>
      <c r="J13" s="81">
        <f t="shared" si="13"/>
        <v>0</v>
      </c>
      <c r="K13" s="81">
        <f t="shared" si="13"/>
        <v>0</v>
      </c>
      <c r="L13" s="81"/>
      <c r="M13" s="81"/>
      <c r="N13" s="81"/>
      <c r="O13" s="81"/>
      <c r="P13" s="81"/>
      <c r="Q13" s="81"/>
      <c r="R13" s="87">
        <f t="shared" si="14"/>
        <v>0</v>
      </c>
      <c r="S13" s="87">
        <f t="shared" si="14"/>
        <v>0</v>
      </c>
      <c r="T13" s="87">
        <f t="shared" si="14"/>
        <v>0</v>
      </c>
      <c r="U13" s="81">
        <v>0</v>
      </c>
      <c r="V13" s="81">
        <v>0</v>
      </c>
      <c r="W13" s="81">
        <v>0</v>
      </c>
      <c r="X13" s="81"/>
      <c r="Y13" s="81"/>
      <c r="Z13" s="81"/>
      <c r="AA13" s="87">
        <f t="shared" si="15"/>
        <v>0</v>
      </c>
      <c r="AB13" s="87">
        <f t="shared" si="15"/>
        <v>0</v>
      </c>
      <c r="AC13" s="87">
        <f t="shared" si="15"/>
        <v>0</v>
      </c>
      <c r="AD13" s="87"/>
      <c r="AE13" s="87"/>
      <c r="AF13" s="81"/>
      <c r="AG13" s="81"/>
      <c r="AH13" s="81"/>
      <c r="AI13" s="81"/>
      <c r="AJ13" s="81"/>
      <c r="AK13" s="81"/>
      <c r="AL13" s="81"/>
      <c r="AM13" s="87">
        <f t="shared" si="16"/>
        <v>0</v>
      </c>
      <c r="AN13" s="87">
        <f t="shared" si="16"/>
        <v>0</v>
      </c>
      <c r="AO13" s="87">
        <f t="shared" si="16"/>
        <v>0</v>
      </c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92"/>
      <c r="BC13" s="91"/>
      <c r="BD13" s="81"/>
      <c r="BE13" s="81"/>
      <c r="BF13" s="81"/>
      <c r="BG13" s="81"/>
      <c r="BH13" s="81">
        <v>133838</v>
      </c>
      <c r="BI13" s="81">
        <v>216913</v>
      </c>
      <c r="BJ13" s="81">
        <v>186260</v>
      </c>
      <c r="BK13" s="81"/>
      <c r="BL13" s="81"/>
      <c r="BM13" s="81"/>
      <c r="BN13" s="81">
        <v>7509</v>
      </c>
      <c r="BO13" s="81">
        <v>7509</v>
      </c>
      <c r="BP13" s="81">
        <v>11500</v>
      </c>
      <c r="BQ13" s="87">
        <v>1000</v>
      </c>
      <c r="BR13" s="87">
        <f>1000-1000</f>
        <v>0</v>
      </c>
      <c r="BS13" s="81">
        <v>1000</v>
      </c>
      <c r="BT13" s="81"/>
      <c r="BU13" s="81"/>
      <c r="BV13" s="81"/>
      <c r="BW13" s="87">
        <f t="shared" si="17"/>
        <v>142347</v>
      </c>
      <c r="BX13" s="87">
        <f t="shared" si="17"/>
        <v>224422</v>
      </c>
      <c r="BY13" s="87">
        <f t="shared" si="17"/>
        <v>198760</v>
      </c>
      <c r="BZ13" s="81">
        <v>10000</v>
      </c>
      <c r="CA13" s="81">
        <v>10000</v>
      </c>
      <c r="CB13" s="81"/>
      <c r="CC13" s="81"/>
      <c r="CD13" s="81"/>
      <c r="CE13" s="81"/>
      <c r="CF13" s="81">
        <v>5440</v>
      </c>
      <c r="CG13" s="81">
        <f>5440-1530-560</f>
        <v>3350</v>
      </c>
      <c r="CH13" s="81">
        <v>3900</v>
      </c>
      <c r="CI13" s="81"/>
      <c r="CJ13" s="81"/>
      <c r="CK13" s="81"/>
      <c r="CL13" s="87">
        <v>24600</v>
      </c>
      <c r="CM13" s="81">
        <f>25000-400</f>
        <v>24600</v>
      </c>
      <c r="CN13" s="81">
        <v>18000</v>
      </c>
      <c r="CO13" s="87">
        <v>20300</v>
      </c>
      <c r="CP13" s="87">
        <f>20300+8000</f>
        <v>28300</v>
      </c>
      <c r="CQ13" s="81">
        <v>38000</v>
      </c>
      <c r="CR13" s="81">
        <f t="shared" si="18"/>
        <v>60340</v>
      </c>
      <c r="CS13" s="81">
        <f t="shared" si="18"/>
        <v>66250</v>
      </c>
      <c r="CT13" s="81">
        <f t="shared" si="18"/>
        <v>59900</v>
      </c>
      <c r="CU13" s="81"/>
      <c r="CV13" s="81"/>
      <c r="CW13" s="81"/>
      <c r="CX13" s="81"/>
      <c r="CY13" s="81"/>
      <c r="CZ13" s="81"/>
      <c r="DA13" s="81"/>
      <c r="DB13" s="81"/>
      <c r="DC13" s="81"/>
      <c r="DD13" s="87">
        <v>4000</v>
      </c>
      <c r="DE13" s="87">
        <v>4000</v>
      </c>
      <c r="DF13" s="81">
        <v>7200</v>
      </c>
      <c r="DG13" s="81">
        <v>40000</v>
      </c>
      <c r="DH13" s="81">
        <f>40000-2000-2000</f>
        <v>36000</v>
      </c>
      <c r="DI13" s="81">
        <v>40000</v>
      </c>
      <c r="DJ13" s="81">
        <f t="shared" si="19"/>
        <v>55500</v>
      </c>
      <c r="DK13" s="81">
        <f t="shared" si="19"/>
        <v>55500</v>
      </c>
      <c r="DL13" s="81">
        <f t="shared" si="19"/>
        <v>67500</v>
      </c>
      <c r="DM13" s="87">
        <v>50500</v>
      </c>
      <c r="DN13" s="87">
        <v>50500</v>
      </c>
      <c r="DO13" s="81">
        <v>62500</v>
      </c>
      <c r="DP13" s="81">
        <v>5000</v>
      </c>
      <c r="DQ13" s="81">
        <v>5000</v>
      </c>
      <c r="DR13" s="81">
        <v>5000</v>
      </c>
      <c r="DS13" s="81">
        <f t="shared" si="20"/>
        <v>99500</v>
      </c>
      <c r="DT13" s="81">
        <f t="shared" si="20"/>
        <v>95500</v>
      </c>
      <c r="DU13" s="81">
        <f t="shared" si="20"/>
        <v>114700</v>
      </c>
      <c r="DV13" s="81"/>
      <c r="DW13" s="81"/>
      <c r="DX13" s="81"/>
      <c r="DY13" s="81"/>
      <c r="DZ13" s="81">
        <v>0</v>
      </c>
      <c r="EA13" s="81"/>
      <c r="EB13" s="81">
        <f t="shared" si="21"/>
        <v>0</v>
      </c>
      <c r="EC13" s="81">
        <f t="shared" si="21"/>
        <v>0</v>
      </c>
      <c r="ED13" s="81">
        <f t="shared" si="21"/>
        <v>0</v>
      </c>
      <c r="EE13" s="87">
        <f t="shared" si="22"/>
        <v>302187</v>
      </c>
      <c r="EF13" s="87">
        <f t="shared" si="22"/>
        <v>386172</v>
      </c>
      <c r="EG13" s="87">
        <f t="shared" si="22"/>
        <v>373360</v>
      </c>
      <c r="EH13" s="96" t="s">
        <v>72</v>
      </c>
    </row>
    <row r="14" spans="1:148" ht="12" customHeight="1">
      <c r="A14" s="33" t="s">
        <v>73</v>
      </c>
      <c r="B14" s="40" t="s">
        <v>74</v>
      </c>
      <c r="C14" s="81"/>
      <c r="D14" s="81"/>
      <c r="E14" s="81"/>
      <c r="F14" s="87"/>
      <c r="G14" s="87"/>
      <c r="H14" s="81"/>
      <c r="I14" s="81">
        <f t="shared" si="13"/>
        <v>0</v>
      </c>
      <c r="J14" s="81">
        <f t="shared" si="13"/>
        <v>0</v>
      </c>
      <c r="K14" s="81">
        <f t="shared" si="13"/>
        <v>0</v>
      </c>
      <c r="L14" s="81"/>
      <c r="M14" s="81"/>
      <c r="N14" s="81"/>
      <c r="O14" s="81">
        <v>567</v>
      </c>
      <c r="P14" s="81">
        <f>567+13+80</f>
        <v>660</v>
      </c>
      <c r="Q14" s="81"/>
      <c r="R14" s="87">
        <f t="shared" si="14"/>
        <v>567</v>
      </c>
      <c r="S14" s="87">
        <f t="shared" si="14"/>
        <v>660</v>
      </c>
      <c r="T14" s="87">
        <f t="shared" si="14"/>
        <v>0</v>
      </c>
      <c r="U14" s="81">
        <v>0</v>
      </c>
      <c r="V14" s="81">
        <v>0</v>
      </c>
      <c r="W14" s="81">
        <v>0</v>
      </c>
      <c r="X14" s="81"/>
      <c r="Y14" s="81"/>
      <c r="Z14" s="81"/>
      <c r="AA14" s="87">
        <f t="shared" si="15"/>
        <v>0</v>
      </c>
      <c r="AB14" s="87">
        <f t="shared" si="15"/>
        <v>0</v>
      </c>
      <c r="AC14" s="87">
        <f t="shared" si="15"/>
        <v>0</v>
      </c>
      <c r="AD14" s="87">
        <v>5700</v>
      </c>
      <c r="AE14" s="87">
        <v>5700</v>
      </c>
      <c r="AF14" s="81">
        <v>7100</v>
      </c>
      <c r="AG14" s="81"/>
      <c r="AH14" s="81"/>
      <c r="AI14" s="81"/>
      <c r="AJ14" s="81"/>
      <c r="AK14" s="81"/>
      <c r="AL14" s="81"/>
      <c r="AM14" s="87">
        <f t="shared" si="16"/>
        <v>5700</v>
      </c>
      <c r="AN14" s="87">
        <f t="shared" si="16"/>
        <v>5700</v>
      </c>
      <c r="AO14" s="87">
        <f t="shared" si="16"/>
        <v>7100</v>
      </c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7">
        <v>1500</v>
      </c>
      <c r="BC14" s="87">
        <v>1500</v>
      </c>
      <c r="BD14" s="81">
        <v>1800</v>
      </c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7">
        <v>6500</v>
      </c>
      <c r="BR14" s="87">
        <f>6500-500</f>
        <v>6000</v>
      </c>
      <c r="BS14" s="81">
        <v>7100</v>
      </c>
      <c r="BT14" s="81"/>
      <c r="BU14" s="81"/>
      <c r="BV14" s="81"/>
      <c r="BW14" s="87">
        <f t="shared" si="17"/>
        <v>8000</v>
      </c>
      <c r="BX14" s="87">
        <f t="shared" si="17"/>
        <v>7500</v>
      </c>
      <c r="BY14" s="87">
        <f t="shared" si="17"/>
        <v>8900</v>
      </c>
      <c r="BZ14" s="81"/>
      <c r="CA14" s="81"/>
      <c r="CB14" s="81"/>
      <c r="CC14" s="81"/>
      <c r="CD14" s="81"/>
      <c r="CE14" s="81"/>
      <c r="CF14" s="81">
        <v>6000</v>
      </c>
      <c r="CG14" s="81">
        <f>6000</f>
        <v>6000</v>
      </c>
      <c r="CH14" s="81">
        <v>6750</v>
      </c>
      <c r="CI14" s="81"/>
      <c r="CJ14" s="81"/>
      <c r="CK14" s="81"/>
      <c r="CL14" s="95"/>
      <c r="CM14" s="81"/>
      <c r="CN14" s="81"/>
      <c r="CO14" s="87">
        <v>2760</v>
      </c>
      <c r="CP14" s="87">
        <v>2760</v>
      </c>
      <c r="CQ14" s="81">
        <v>3190</v>
      </c>
      <c r="CR14" s="81">
        <f t="shared" si="18"/>
        <v>8760</v>
      </c>
      <c r="CS14" s="81">
        <f t="shared" si="18"/>
        <v>8760</v>
      </c>
      <c r="CT14" s="81">
        <f t="shared" si="18"/>
        <v>9940</v>
      </c>
      <c r="CU14" s="81"/>
      <c r="CV14" s="81"/>
      <c r="CW14" s="81"/>
      <c r="CX14" s="81"/>
      <c r="CY14" s="81"/>
      <c r="CZ14" s="81"/>
      <c r="DA14" s="81"/>
      <c r="DB14" s="81"/>
      <c r="DC14" s="81"/>
      <c r="DD14" s="87">
        <v>4530</v>
      </c>
      <c r="DE14" s="87">
        <f>4530-800</f>
        <v>3730</v>
      </c>
      <c r="DF14" s="81">
        <v>5110</v>
      </c>
      <c r="DG14" s="81">
        <v>4400</v>
      </c>
      <c r="DH14" s="81">
        <v>4400</v>
      </c>
      <c r="DI14" s="81">
        <v>5000</v>
      </c>
      <c r="DJ14" s="81">
        <f t="shared" si="19"/>
        <v>11360</v>
      </c>
      <c r="DK14" s="81">
        <f t="shared" si="19"/>
        <v>11360</v>
      </c>
      <c r="DL14" s="81">
        <f t="shared" si="19"/>
        <v>10900</v>
      </c>
      <c r="DM14" s="87">
        <v>2860</v>
      </c>
      <c r="DN14" s="87">
        <v>2860</v>
      </c>
      <c r="DO14" s="81">
        <v>3400</v>
      </c>
      <c r="DP14" s="81">
        <v>8500</v>
      </c>
      <c r="DQ14" s="81">
        <v>8500</v>
      </c>
      <c r="DR14" s="81">
        <v>7500</v>
      </c>
      <c r="DS14" s="81">
        <f t="shared" si="20"/>
        <v>20290</v>
      </c>
      <c r="DT14" s="81">
        <f t="shared" si="20"/>
        <v>19490</v>
      </c>
      <c r="DU14" s="81">
        <f t="shared" si="20"/>
        <v>21010</v>
      </c>
      <c r="DV14" s="81">
        <v>0</v>
      </c>
      <c r="DW14" s="81">
        <v>0</v>
      </c>
      <c r="DX14" s="81">
        <v>0</v>
      </c>
      <c r="DY14" s="81">
        <v>0</v>
      </c>
      <c r="DZ14" s="81">
        <v>0</v>
      </c>
      <c r="EA14" s="81">
        <v>0</v>
      </c>
      <c r="EB14" s="81">
        <f t="shared" si="21"/>
        <v>0</v>
      </c>
      <c r="EC14" s="81">
        <f t="shared" si="21"/>
        <v>0</v>
      </c>
      <c r="ED14" s="81">
        <f t="shared" si="21"/>
        <v>0</v>
      </c>
      <c r="EE14" s="87">
        <f t="shared" si="22"/>
        <v>43317</v>
      </c>
      <c r="EF14" s="87">
        <f t="shared" si="22"/>
        <v>42110</v>
      </c>
      <c r="EG14" s="87">
        <f t="shared" si="22"/>
        <v>46950</v>
      </c>
      <c r="EH14" s="97" t="s">
        <v>74</v>
      </c>
    </row>
    <row r="15" spans="1:148">
      <c r="A15" s="33" t="s">
        <v>75</v>
      </c>
      <c r="B15" s="40" t="s">
        <v>76</v>
      </c>
      <c r="C15" s="81"/>
      <c r="D15" s="81"/>
      <c r="E15" s="81"/>
      <c r="F15" s="87"/>
      <c r="G15" s="87"/>
      <c r="H15" s="81"/>
      <c r="I15" s="81">
        <f t="shared" si="13"/>
        <v>0</v>
      </c>
      <c r="J15" s="81">
        <f t="shared" si="13"/>
        <v>0</v>
      </c>
      <c r="K15" s="81">
        <f t="shared" si="13"/>
        <v>0</v>
      </c>
      <c r="L15" s="81"/>
      <c r="M15" s="81"/>
      <c r="N15" s="81"/>
      <c r="O15" s="81"/>
      <c r="P15" s="81"/>
      <c r="Q15" s="81"/>
      <c r="R15" s="87">
        <f t="shared" si="14"/>
        <v>0</v>
      </c>
      <c r="S15" s="87">
        <f t="shared" si="14"/>
        <v>0</v>
      </c>
      <c r="T15" s="87">
        <f t="shared" si="14"/>
        <v>0</v>
      </c>
      <c r="U15" s="81">
        <v>0</v>
      </c>
      <c r="V15" s="81">
        <v>0</v>
      </c>
      <c r="W15" s="81">
        <v>0</v>
      </c>
      <c r="X15" s="81"/>
      <c r="Y15" s="81"/>
      <c r="Z15" s="81"/>
      <c r="AA15" s="87">
        <f t="shared" si="15"/>
        <v>0</v>
      </c>
      <c r="AB15" s="87">
        <f t="shared" si="15"/>
        <v>0</v>
      </c>
      <c r="AC15" s="87">
        <f t="shared" si="15"/>
        <v>0</v>
      </c>
      <c r="AD15" s="87">
        <v>10990</v>
      </c>
      <c r="AE15" s="87">
        <f>10990-3950-1400</f>
        <v>5640</v>
      </c>
      <c r="AF15" s="81">
        <v>12600</v>
      </c>
      <c r="AG15" s="81"/>
      <c r="AH15" s="81"/>
      <c r="AI15" s="81"/>
      <c r="AJ15" s="81"/>
      <c r="AK15" s="81"/>
      <c r="AL15" s="81"/>
      <c r="AM15" s="87">
        <f t="shared" si="16"/>
        <v>10990</v>
      </c>
      <c r="AN15" s="87">
        <f t="shared" si="16"/>
        <v>5640</v>
      </c>
      <c r="AO15" s="87">
        <f t="shared" si="16"/>
        <v>12600</v>
      </c>
      <c r="AP15" s="81">
        <v>0</v>
      </c>
      <c r="AQ15" s="81">
        <v>0</v>
      </c>
      <c r="AR15" s="81">
        <v>0</v>
      </c>
      <c r="AS15" s="81"/>
      <c r="AT15" s="81"/>
      <c r="AU15" s="81"/>
      <c r="AV15" s="81"/>
      <c r="AW15" s="81"/>
      <c r="AX15" s="81"/>
      <c r="AY15" s="81"/>
      <c r="AZ15" s="81"/>
      <c r="BA15" s="81"/>
      <c r="BB15" s="92"/>
      <c r="BC15" s="9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7">
        <v>4400</v>
      </c>
      <c r="BR15" s="87">
        <v>4400</v>
      </c>
      <c r="BS15" s="81">
        <v>4400</v>
      </c>
      <c r="BT15" s="81"/>
      <c r="BU15" s="81"/>
      <c r="BV15" s="81"/>
      <c r="BW15" s="87">
        <f t="shared" si="17"/>
        <v>4400</v>
      </c>
      <c r="BX15" s="87">
        <f t="shared" si="17"/>
        <v>4400</v>
      </c>
      <c r="BY15" s="87">
        <f t="shared" si="17"/>
        <v>4400</v>
      </c>
      <c r="BZ15" s="81"/>
      <c r="CA15" s="81"/>
      <c r="CB15" s="81"/>
      <c r="CC15" s="81"/>
      <c r="CD15" s="81"/>
      <c r="CE15" s="81"/>
      <c r="CF15" s="81">
        <v>20000</v>
      </c>
      <c r="CG15" s="81">
        <v>20000</v>
      </c>
      <c r="CH15" s="81">
        <v>22000</v>
      </c>
      <c r="CI15" s="81"/>
      <c r="CJ15" s="81"/>
      <c r="CK15" s="81"/>
      <c r="CL15" s="95"/>
      <c r="CM15" s="81"/>
      <c r="CN15" s="81"/>
      <c r="CO15" s="87">
        <v>6900</v>
      </c>
      <c r="CP15" s="87">
        <v>6900</v>
      </c>
      <c r="CQ15" s="81"/>
      <c r="CR15" s="81">
        <f t="shared" si="18"/>
        <v>26900</v>
      </c>
      <c r="CS15" s="81">
        <f t="shared" si="18"/>
        <v>26900</v>
      </c>
      <c r="CT15" s="81">
        <f t="shared" si="18"/>
        <v>22000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7">
        <v>1000</v>
      </c>
      <c r="DE15" s="87">
        <v>1000</v>
      </c>
      <c r="DF15" s="81">
        <v>18390</v>
      </c>
      <c r="DG15" s="81">
        <v>4000</v>
      </c>
      <c r="DH15" s="81">
        <v>4000</v>
      </c>
      <c r="DI15" s="81">
        <v>4000</v>
      </c>
      <c r="DJ15" s="81">
        <f t="shared" si="19"/>
        <v>5000</v>
      </c>
      <c r="DK15" s="81">
        <f t="shared" si="19"/>
        <v>5000</v>
      </c>
      <c r="DL15" s="81">
        <f t="shared" si="19"/>
        <v>5000</v>
      </c>
      <c r="DM15" s="87"/>
      <c r="DN15" s="87"/>
      <c r="DO15" s="81"/>
      <c r="DP15" s="81">
        <v>5000</v>
      </c>
      <c r="DQ15" s="81">
        <v>5000</v>
      </c>
      <c r="DR15" s="81">
        <v>5000</v>
      </c>
      <c r="DS15" s="81">
        <f t="shared" si="20"/>
        <v>10000</v>
      </c>
      <c r="DT15" s="81">
        <f t="shared" si="20"/>
        <v>10000</v>
      </c>
      <c r="DU15" s="81">
        <f t="shared" si="20"/>
        <v>27390</v>
      </c>
      <c r="DV15" s="81">
        <v>0</v>
      </c>
      <c r="DW15" s="81">
        <v>0</v>
      </c>
      <c r="DX15" s="81">
        <v>0</v>
      </c>
      <c r="DY15" s="81">
        <v>0</v>
      </c>
      <c r="DZ15" s="81">
        <v>0</v>
      </c>
      <c r="EA15" s="81">
        <v>0</v>
      </c>
      <c r="EB15" s="81">
        <f t="shared" si="21"/>
        <v>0</v>
      </c>
      <c r="EC15" s="81">
        <f t="shared" si="21"/>
        <v>0</v>
      </c>
      <c r="ED15" s="81">
        <f t="shared" si="21"/>
        <v>0</v>
      </c>
      <c r="EE15" s="87">
        <f t="shared" si="22"/>
        <v>52290</v>
      </c>
      <c r="EF15" s="87">
        <f t="shared" si="22"/>
        <v>46940</v>
      </c>
      <c r="EG15" s="87">
        <f t="shared" si="22"/>
        <v>66390</v>
      </c>
      <c r="EH15" s="97" t="s">
        <v>76</v>
      </c>
    </row>
    <row r="16" spans="1:148">
      <c r="A16" s="33" t="s">
        <v>77</v>
      </c>
      <c r="B16" s="34" t="s">
        <v>78</v>
      </c>
      <c r="C16" s="81"/>
      <c r="D16" s="81"/>
      <c r="E16" s="81"/>
      <c r="F16" s="87">
        <v>580000</v>
      </c>
      <c r="G16" s="87">
        <v>580000</v>
      </c>
      <c r="H16" s="81">
        <v>620000</v>
      </c>
      <c r="I16" s="81">
        <f t="shared" si="13"/>
        <v>580000</v>
      </c>
      <c r="J16" s="81">
        <f t="shared" si="13"/>
        <v>580000</v>
      </c>
      <c r="K16" s="81">
        <f t="shared" si="13"/>
        <v>620000</v>
      </c>
      <c r="L16" s="81"/>
      <c r="M16" s="81"/>
      <c r="N16" s="81"/>
      <c r="O16" s="81">
        <v>500</v>
      </c>
      <c r="P16" s="81">
        <f>500-306</f>
        <v>194</v>
      </c>
      <c r="Q16" s="81"/>
      <c r="R16" s="87">
        <f t="shared" si="14"/>
        <v>500</v>
      </c>
      <c r="S16" s="87">
        <f t="shared" si="14"/>
        <v>194</v>
      </c>
      <c r="T16" s="87">
        <f t="shared" si="14"/>
        <v>0</v>
      </c>
      <c r="U16" s="81">
        <v>0</v>
      </c>
      <c r="V16" s="81">
        <v>0</v>
      </c>
      <c r="W16" s="81">
        <v>0</v>
      </c>
      <c r="X16" s="81"/>
      <c r="Y16" s="81"/>
      <c r="Z16" s="81"/>
      <c r="AA16" s="87">
        <f t="shared" si="15"/>
        <v>0</v>
      </c>
      <c r="AB16" s="87">
        <f t="shared" si="15"/>
        <v>0</v>
      </c>
      <c r="AC16" s="87">
        <f t="shared" si="15"/>
        <v>0</v>
      </c>
      <c r="AD16" s="87">
        <v>4000</v>
      </c>
      <c r="AE16" s="87">
        <f>4000+300</f>
        <v>4300</v>
      </c>
      <c r="AF16" s="81">
        <v>4000</v>
      </c>
      <c r="AG16" s="81"/>
      <c r="AH16" s="81"/>
      <c r="AI16" s="81"/>
      <c r="AJ16" s="81"/>
      <c r="AK16" s="81"/>
      <c r="AL16" s="81"/>
      <c r="AM16" s="87">
        <f t="shared" si="16"/>
        <v>4000</v>
      </c>
      <c r="AN16" s="87">
        <f t="shared" si="16"/>
        <v>4300</v>
      </c>
      <c r="AO16" s="87">
        <f t="shared" si="16"/>
        <v>4000</v>
      </c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7">
        <v>2200</v>
      </c>
      <c r="BC16" s="87">
        <v>2200</v>
      </c>
      <c r="BD16" s="81">
        <v>2580</v>
      </c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7">
        <v>3000</v>
      </c>
      <c r="BR16" s="87">
        <f>3000+1000</f>
        <v>4000</v>
      </c>
      <c r="BS16" s="81">
        <v>3500</v>
      </c>
      <c r="BT16" s="81"/>
      <c r="BU16" s="81"/>
      <c r="BV16" s="81"/>
      <c r="BW16" s="87">
        <f t="shared" si="17"/>
        <v>5200</v>
      </c>
      <c r="BX16" s="87">
        <f t="shared" si="17"/>
        <v>6200</v>
      </c>
      <c r="BY16" s="87">
        <f t="shared" si="17"/>
        <v>6080</v>
      </c>
      <c r="BZ16" s="81"/>
      <c r="CA16" s="81"/>
      <c r="CB16" s="81"/>
      <c r="CC16" s="81"/>
      <c r="CD16" s="81"/>
      <c r="CE16" s="81"/>
      <c r="CF16" s="81">
        <v>2000</v>
      </c>
      <c r="CG16" s="81">
        <f>2000</f>
        <v>2000</v>
      </c>
      <c r="CH16" s="81">
        <v>2000</v>
      </c>
      <c r="CI16" s="81"/>
      <c r="CJ16" s="81"/>
      <c r="CK16" s="81"/>
      <c r="CL16" s="95"/>
      <c r="CM16" s="81"/>
      <c r="CN16" s="81"/>
      <c r="CO16" s="87">
        <v>2000</v>
      </c>
      <c r="CP16" s="87">
        <v>2000</v>
      </c>
      <c r="CQ16" s="81">
        <v>2000</v>
      </c>
      <c r="CR16" s="81">
        <f t="shared" si="18"/>
        <v>4000</v>
      </c>
      <c r="CS16" s="81">
        <f t="shared" si="18"/>
        <v>4000</v>
      </c>
      <c r="CT16" s="81">
        <f t="shared" si="18"/>
        <v>4000</v>
      </c>
      <c r="CU16" s="81"/>
      <c r="CV16" s="81"/>
      <c r="CW16" s="81"/>
      <c r="CX16" s="81"/>
      <c r="CY16" s="81"/>
      <c r="CZ16" s="81"/>
      <c r="DA16" s="81"/>
      <c r="DB16" s="81"/>
      <c r="DC16" s="81"/>
      <c r="DD16" s="87">
        <v>1200</v>
      </c>
      <c r="DE16" s="87">
        <f>1200+800</f>
        <v>2000</v>
      </c>
      <c r="DF16" s="81">
        <v>1500</v>
      </c>
      <c r="DG16" s="81">
        <v>2700</v>
      </c>
      <c r="DH16" s="81">
        <f>2700+2000</f>
        <v>4700</v>
      </c>
      <c r="DI16" s="81">
        <v>3000</v>
      </c>
      <c r="DJ16" s="81">
        <f t="shared" si="19"/>
        <v>8000</v>
      </c>
      <c r="DK16" s="81">
        <f t="shared" si="19"/>
        <v>8000</v>
      </c>
      <c r="DL16" s="81">
        <f t="shared" si="19"/>
        <v>8000</v>
      </c>
      <c r="DM16" s="87">
        <v>3000</v>
      </c>
      <c r="DN16" s="87">
        <v>3000</v>
      </c>
      <c r="DO16" s="81">
        <v>3000</v>
      </c>
      <c r="DP16" s="81">
        <v>5000</v>
      </c>
      <c r="DQ16" s="81">
        <v>5000</v>
      </c>
      <c r="DR16" s="81">
        <v>5000</v>
      </c>
      <c r="DS16" s="81">
        <f t="shared" si="20"/>
        <v>11900</v>
      </c>
      <c r="DT16" s="81">
        <f t="shared" si="20"/>
        <v>14700</v>
      </c>
      <c r="DU16" s="81">
        <f t="shared" si="20"/>
        <v>12500</v>
      </c>
      <c r="DV16" s="81">
        <v>0</v>
      </c>
      <c r="DW16" s="81">
        <v>0</v>
      </c>
      <c r="DX16" s="81">
        <v>0</v>
      </c>
      <c r="DY16" s="81">
        <v>0</v>
      </c>
      <c r="DZ16" s="81">
        <v>0</v>
      </c>
      <c r="EA16" s="81">
        <v>0</v>
      </c>
      <c r="EB16" s="81">
        <f t="shared" si="21"/>
        <v>0</v>
      </c>
      <c r="EC16" s="81">
        <f t="shared" si="21"/>
        <v>0</v>
      </c>
      <c r="ED16" s="81">
        <f t="shared" si="21"/>
        <v>0</v>
      </c>
      <c r="EE16" s="87">
        <f t="shared" si="22"/>
        <v>605600</v>
      </c>
      <c r="EF16" s="87">
        <f t="shared" si="22"/>
        <v>609394</v>
      </c>
      <c r="EG16" s="87">
        <f t="shared" si="22"/>
        <v>646580</v>
      </c>
      <c r="EH16" s="96" t="s">
        <v>78</v>
      </c>
    </row>
    <row r="17" spans="1:148" s="32" customFormat="1">
      <c r="A17" s="39" t="s">
        <v>79</v>
      </c>
      <c r="B17" s="25" t="s">
        <v>80</v>
      </c>
      <c r="C17" s="86">
        <f>SUM(C18:C21)</f>
        <v>0</v>
      </c>
      <c r="D17" s="86">
        <f>SUM(D18:D21)</f>
        <v>0</v>
      </c>
      <c r="E17" s="86">
        <f t="shared" ref="E17:AZ17" si="23">SUM(E18:E21)</f>
        <v>0</v>
      </c>
      <c r="F17" s="92">
        <f>SUM(F18:F21)</f>
        <v>125052</v>
      </c>
      <c r="G17" s="91">
        <f>SUM(G18:G21)</f>
        <v>125052</v>
      </c>
      <c r="H17" s="86">
        <f t="shared" si="23"/>
        <v>135400</v>
      </c>
      <c r="I17" s="86">
        <f t="shared" si="23"/>
        <v>125052</v>
      </c>
      <c r="J17" s="86">
        <f t="shared" si="23"/>
        <v>125052</v>
      </c>
      <c r="K17" s="86">
        <f t="shared" si="23"/>
        <v>135400</v>
      </c>
      <c r="L17" s="86">
        <f>SUM(L18:L21)</f>
        <v>0</v>
      </c>
      <c r="M17" s="86">
        <f>SUM(M18:M21)</f>
        <v>0</v>
      </c>
      <c r="N17" s="86"/>
      <c r="O17" s="83">
        <f>SUM(O18:O21)</f>
        <v>5711</v>
      </c>
      <c r="P17" s="86">
        <f>SUM(P18:P21)</f>
        <v>6436</v>
      </c>
      <c r="Q17" s="86">
        <f t="shared" si="23"/>
        <v>0</v>
      </c>
      <c r="R17" s="86">
        <f t="shared" si="23"/>
        <v>5711</v>
      </c>
      <c r="S17" s="86">
        <f t="shared" si="23"/>
        <v>6436</v>
      </c>
      <c r="T17" s="86">
        <f t="shared" si="23"/>
        <v>0</v>
      </c>
      <c r="U17" s="86">
        <f>SUM(U18:U21)</f>
        <v>0</v>
      </c>
      <c r="V17" s="86">
        <f>SUM(V18:V21)</f>
        <v>0</v>
      </c>
      <c r="W17" s="86">
        <f t="shared" si="23"/>
        <v>0</v>
      </c>
      <c r="X17" s="86">
        <f>SUM(X18:X21)</f>
        <v>0</v>
      </c>
      <c r="Y17" s="86">
        <f>SUM(Y18:Y21)</f>
        <v>0</v>
      </c>
      <c r="Z17" s="86">
        <f t="shared" si="23"/>
        <v>0</v>
      </c>
      <c r="AA17" s="86">
        <f t="shared" si="23"/>
        <v>0</v>
      </c>
      <c r="AB17" s="86">
        <f t="shared" si="23"/>
        <v>0</v>
      </c>
      <c r="AC17" s="86">
        <f t="shared" si="23"/>
        <v>0</v>
      </c>
      <c r="AD17" s="83">
        <f t="shared" si="23"/>
        <v>56500</v>
      </c>
      <c r="AE17" s="86">
        <f>SUM(AE18:AE21)</f>
        <v>57850</v>
      </c>
      <c r="AF17" s="86">
        <f t="shared" si="23"/>
        <v>68930</v>
      </c>
      <c r="AG17" s="86">
        <f>SUM(AG18:AG21)</f>
        <v>0</v>
      </c>
      <c r="AH17" s="86">
        <f>SUM(AH18:AH21)</f>
        <v>0</v>
      </c>
      <c r="AI17" s="86">
        <f t="shared" si="23"/>
        <v>0</v>
      </c>
      <c r="AJ17" s="86">
        <f>SUM(AJ18:AJ21)</f>
        <v>0</v>
      </c>
      <c r="AK17" s="86">
        <f>SUM(AK18:AK21)</f>
        <v>0</v>
      </c>
      <c r="AL17" s="86">
        <f t="shared" si="23"/>
        <v>0</v>
      </c>
      <c r="AM17" s="86">
        <f t="shared" si="23"/>
        <v>56500</v>
      </c>
      <c r="AN17" s="86">
        <f t="shared" si="23"/>
        <v>57850</v>
      </c>
      <c r="AO17" s="86">
        <f t="shared" si="23"/>
        <v>68930</v>
      </c>
      <c r="AP17" s="86">
        <f t="shared" si="23"/>
        <v>0</v>
      </c>
      <c r="AQ17" s="86">
        <f t="shared" si="23"/>
        <v>0</v>
      </c>
      <c r="AR17" s="86">
        <f t="shared" si="23"/>
        <v>0</v>
      </c>
      <c r="AS17" s="86">
        <f t="shared" si="23"/>
        <v>0</v>
      </c>
      <c r="AT17" s="86">
        <f t="shared" si="23"/>
        <v>0</v>
      </c>
      <c r="AU17" s="86">
        <f t="shared" si="23"/>
        <v>0</v>
      </c>
      <c r="AV17" s="86">
        <f t="shared" si="23"/>
        <v>0</v>
      </c>
      <c r="AW17" s="86">
        <f t="shared" si="23"/>
        <v>0</v>
      </c>
      <c r="AX17" s="86">
        <f t="shared" si="23"/>
        <v>0</v>
      </c>
      <c r="AY17" s="86">
        <f t="shared" si="23"/>
        <v>0</v>
      </c>
      <c r="AZ17" s="86">
        <f t="shared" si="23"/>
        <v>0</v>
      </c>
      <c r="BA17" s="86">
        <f t="shared" ref="BA17:CV17" si="24">SUM(BA18:BA21)</f>
        <v>0</v>
      </c>
      <c r="BB17" s="92">
        <f>SUM(BB18:BB21)</f>
        <v>15415</v>
      </c>
      <c r="BC17" s="91">
        <f>SUM(BC18:BC21)</f>
        <v>15415</v>
      </c>
      <c r="BD17" s="86">
        <f t="shared" si="24"/>
        <v>18020</v>
      </c>
      <c r="BE17" s="86">
        <f t="shared" si="24"/>
        <v>0</v>
      </c>
      <c r="BF17" s="86">
        <f t="shared" si="24"/>
        <v>0</v>
      </c>
      <c r="BG17" s="86">
        <f t="shared" si="24"/>
        <v>0</v>
      </c>
      <c r="BH17" s="83">
        <f>SUM(BH18:BH21)</f>
        <v>960</v>
      </c>
      <c r="BI17" s="86">
        <f>SUM(BI18:BI21)</f>
        <v>960</v>
      </c>
      <c r="BJ17" s="86">
        <f t="shared" si="24"/>
        <v>0</v>
      </c>
      <c r="BK17" s="86">
        <f t="shared" si="24"/>
        <v>0</v>
      </c>
      <c r="BL17" s="86">
        <f t="shared" si="24"/>
        <v>0</v>
      </c>
      <c r="BM17" s="86">
        <f t="shared" si="24"/>
        <v>0</v>
      </c>
      <c r="BN17" s="83">
        <f t="shared" si="24"/>
        <v>891</v>
      </c>
      <c r="BO17" s="86">
        <f>SUM(BO18:BO21)</f>
        <v>891</v>
      </c>
      <c r="BP17" s="86">
        <f t="shared" si="24"/>
        <v>1375</v>
      </c>
      <c r="BQ17" s="92">
        <f>SUM(BQ18:BQ21)</f>
        <v>58500</v>
      </c>
      <c r="BR17" s="91">
        <f>SUM(BR18:BR21)</f>
        <v>59000</v>
      </c>
      <c r="BS17" s="86">
        <f t="shared" si="24"/>
        <v>69000</v>
      </c>
      <c r="BT17" s="86">
        <f t="shared" si="24"/>
        <v>0</v>
      </c>
      <c r="BU17" s="86">
        <f t="shared" si="24"/>
        <v>0</v>
      </c>
      <c r="BV17" s="86">
        <f t="shared" si="24"/>
        <v>0</v>
      </c>
      <c r="BW17" s="86">
        <f t="shared" si="24"/>
        <v>75766</v>
      </c>
      <c r="BX17" s="86">
        <f t="shared" si="24"/>
        <v>76266</v>
      </c>
      <c r="BY17" s="86">
        <f t="shared" si="24"/>
        <v>88395</v>
      </c>
      <c r="BZ17" s="83">
        <f>SUM(BZ18:BZ21)</f>
        <v>0</v>
      </c>
      <c r="CA17" s="86">
        <f>SUM(CA18:CA21)</f>
        <v>0</v>
      </c>
      <c r="CB17" s="86">
        <f t="shared" si="24"/>
        <v>0</v>
      </c>
      <c r="CC17" s="86">
        <f t="shared" si="24"/>
        <v>0</v>
      </c>
      <c r="CD17" s="86">
        <f t="shared" si="24"/>
        <v>0</v>
      </c>
      <c r="CE17" s="86">
        <f t="shared" si="24"/>
        <v>0</v>
      </c>
      <c r="CF17" s="83">
        <f>SUM(CF18:CF21)</f>
        <v>47280</v>
      </c>
      <c r="CG17" s="86">
        <f>SUM(CG18:CG21)</f>
        <v>47280</v>
      </c>
      <c r="CH17" s="86">
        <f t="shared" si="24"/>
        <v>53100</v>
      </c>
      <c r="CI17" s="86">
        <f t="shared" si="24"/>
        <v>0</v>
      </c>
      <c r="CJ17" s="86">
        <f t="shared" si="24"/>
        <v>0</v>
      </c>
      <c r="CK17" s="86">
        <f t="shared" si="24"/>
        <v>0</v>
      </c>
      <c r="CL17" s="83">
        <f>SUM(CL18:CL21)</f>
        <v>2100</v>
      </c>
      <c r="CM17" s="86">
        <f>SUM(CM18:CM21)</f>
        <v>2100</v>
      </c>
      <c r="CN17" s="86">
        <f t="shared" si="24"/>
        <v>2200</v>
      </c>
      <c r="CO17" s="83">
        <f>SUM(CO18:CO21)</f>
        <v>31505</v>
      </c>
      <c r="CP17" s="86">
        <f>SUM(CP18:CP21)</f>
        <v>31505</v>
      </c>
      <c r="CQ17" s="86">
        <f t="shared" si="24"/>
        <v>34400</v>
      </c>
      <c r="CR17" s="86">
        <f t="shared" si="24"/>
        <v>80885</v>
      </c>
      <c r="CS17" s="86">
        <f t="shared" si="24"/>
        <v>80885</v>
      </c>
      <c r="CT17" s="86">
        <f t="shared" si="24"/>
        <v>89700</v>
      </c>
      <c r="CU17" s="86">
        <f t="shared" si="24"/>
        <v>0</v>
      </c>
      <c r="CV17" s="86">
        <f t="shared" si="24"/>
        <v>0</v>
      </c>
      <c r="CW17" s="86">
        <f t="shared" ref="CW17:EG17" si="25">SUM(CW18:CW21)</f>
        <v>0</v>
      </c>
      <c r="CX17" s="86">
        <f t="shared" si="25"/>
        <v>0</v>
      </c>
      <c r="CY17" s="86">
        <f t="shared" si="25"/>
        <v>0</v>
      </c>
      <c r="CZ17" s="86">
        <f t="shared" si="25"/>
        <v>0</v>
      </c>
      <c r="DA17" s="86">
        <f t="shared" si="25"/>
        <v>0</v>
      </c>
      <c r="DB17" s="86">
        <f t="shared" si="25"/>
        <v>0</v>
      </c>
      <c r="DC17" s="86">
        <f t="shared" si="25"/>
        <v>0</v>
      </c>
      <c r="DD17" s="83">
        <f>SUM(DD18:DD21)</f>
        <v>42480</v>
      </c>
      <c r="DE17" s="86">
        <f>SUM(DE18:DE21)</f>
        <v>42480</v>
      </c>
      <c r="DF17" s="86">
        <f t="shared" si="25"/>
        <v>47600</v>
      </c>
      <c r="DG17" s="83">
        <f>SUM(DG18:DG21)</f>
        <v>47400</v>
      </c>
      <c r="DH17" s="86">
        <f>SUM(DH18:DH21)</f>
        <v>47400</v>
      </c>
      <c r="DI17" s="86">
        <f t="shared" si="25"/>
        <v>55900</v>
      </c>
      <c r="DJ17" s="86">
        <f t="shared" si="25"/>
        <v>90419</v>
      </c>
      <c r="DK17" s="86">
        <f t="shared" si="25"/>
        <v>90419</v>
      </c>
      <c r="DL17" s="86">
        <f t="shared" si="25"/>
        <v>106828</v>
      </c>
      <c r="DM17" s="83">
        <f>SUM(DM18:DM21)</f>
        <v>32849</v>
      </c>
      <c r="DN17" s="86">
        <f>SUM(DN18:DN21)</f>
        <v>32849</v>
      </c>
      <c r="DO17" s="86">
        <f t="shared" si="25"/>
        <v>40750</v>
      </c>
      <c r="DP17" s="83">
        <f>SUM(DP18:DP21)</f>
        <v>57570</v>
      </c>
      <c r="DQ17" s="86">
        <f>SUM(DQ18:DQ21)</f>
        <v>57570</v>
      </c>
      <c r="DR17" s="86">
        <f t="shared" si="25"/>
        <v>66078</v>
      </c>
      <c r="DS17" s="86">
        <f t="shared" si="25"/>
        <v>180299</v>
      </c>
      <c r="DT17" s="86">
        <f t="shared" si="25"/>
        <v>180299</v>
      </c>
      <c r="DU17" s="86">
        <f t="shared" si="25"/>
        <v>210328</v>
      </c>
      <c r="DV17" s="86">
        <f t="shared" si="25"/>
        <v>0</v>
      </c>
      <c r="DW17" s="86">
        <f>SUM(DW18:DW21)</f>
        <v>0</v>
      </c>
      <c r="DX17" s="86">
        <f t="shared" si="25"/>
        <v>0</v>
      </c>
      <c r="DY17" s="86">
        <f t="shared" si="25"/>
        <v>0</v>
      </c>
      <c r="DZ17" s="86">
        <f t="shared" si="25"/>
        <v>0</v>
      </c>
      <c r="EA17" s="86">
        <f t="shared" si="25"/>
        <v>0</v>
      </c>
      <c r="EB17" s="86">
        <f t="shared" si="25"/>
        <v>0</v>
      </c>
      <c r="EC17" s="86">
        <f t="shared" si="25"/>
        <v>0</v>
      </c>
      <c r="ED17" s="86">
        <f t="shared" si="25"/>
        <v>0</v>
      </c>
      <c r="EE17" s="86">
        <f t="shared" si="25"/>
        <v>524213</v>
      </c>
      <c r="EF17" s="86">
        <f t="shared" si="25"/>
        <v>526788</v>
      </c>
      <c r="EG17" s="86">
        <f t="shared" si="25"/>
        <v>592753</v>
      </c>
      <c r="EH17" s="94" t="s">
        <v>80</v>
      </c>
      <c r="ER17" s="59"/>
    </row>
    <row r="18" spans="1:148">
      <c r="A18" s="33" t="s">
        <v>81</v>
      </c>
      <c r="B18" s="34" t="s">
        <v>82</v>
      </c>
      <c r="C18" s="81"/>
      <c r="D18" s="81"/>
      <c r="E18" s="81"/>
      <c r="F18" s="87">
        <v>81322</v>
      </c>
      <c r="G18" s="87">
        <v>81322</v>
      </c>
      <c r="H18" s="81">
        <v>86600</v>
      </c>
      <c r="I18" s="81">
        <f t="shared" ref="I18:K21" si="26">SUM(C18,F18)</f>
        <v>81322</v>
      </c>
      <c r="J18" s="81">
        <f t="shared" si="26"/>
        <v>81322</v>
      </c>
      <c r="K18" s="81">
        <f t="shared" si="26"/>
        <v>86600</v>
      </c>
      <c r="L18" s="81"/>
      <c r="M18" s="81"/>
      <c r="N18" s="81"/>
      <c r="O18" s="81">
        <v>2910</v>
      </c>
      <c r="P18" s="81">
        <f>2910+70+274</f>
        <v>3254</v>
      </c>
      <c r="Q18" s="81"/>
      <c r="R18" s="87">
        <f t="shared" ref="R18:T21" si="27">SUM(L18,O18)</f>
        <v>2910</v>
      </c>
      <c r="S18" s="87">
        <f t="shared" si="27"/>
        <v>3254</v>
      </c>
      <c r="T18" s="87">
        <f t="shared" si="27"/>
        <v>0</v>
      </c>
      <c r="U18" s="81">
        <v>0</v>
      </c>
      <c r="V18" s="81">
        <v>0</v>
      </c>
      <c r="W18" s="81">
        <v>0</v>
      </c>
      <c r="X18" s="81"/>
      <c r="Y18" s="81"/>
      <c r="Z18" s="81"/>
      <c r="AA18" s="87">
        <f t="shared" ref="AA18:AC21" si="28">U18+X18</f>
        <v>0</v>
      </c>
      <c r="AB18" s="87">
        <f t="shared" si="28"/>
        <v>0</v>
      </c>
      <c r="AC18" s="87">
        <f t="shared" si="28"/>
        <v>0</v>
      </c>
      <c r="AD18" s="87">
        <v>33610</v>
      </c>
      <c r="AE18" s="87">
        <f>33610+400+400</f>
        <v>34410</v>
      </c>
      <c r="AF18" s="81">
        <v>41130</v>
      </c>
      <c r="AG18" s="81"/>
      <c r="AH18" s="81"/>
      <c r="AI18" s="81"/>
      <c r="AJ18" s="81"/>
      <c r="AK18" s="81"/>
      <c r="AL18" s="81"/>
      <c r="AM18" s="87">
        <f t="shared" ref="AM18:AO21" si="29">AD18+AG18+AJ18</f>
        <v>33610</v>
      </c>
      <c r="AN18" s="87">
        <f t="shared" si="29"/>
        <v>34410</v>
      </c>
      <c r="AO18" s="87">
        <f t="shared" si="29"/>
        <v>41130</v>
      </c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7">
        <v>9268</v>
      </c>
      <c r="BC18" s="87">
        <v>9268</v>
      </c>
      <c r="BD18" s="81">
        <v>10870</v>
      </c>
      <c r="BE18" s="81"/>
      <c r="BF18" s="81"/>
      <c r="BG18" s="81"/>
      <c r="BH18" s="81">
        <v>500</v>
      </c>
      <c r="BI18" s="81">
        <v>500</v>
      </c>
      <c r="BJ18" s="81"/>
      <c r="BK18" s="81"/>
      <c r="BL18" s="81"/>
      <c r="BM18" s="81"/>
      <c r="BN18" s="81">
        <v>463</v>
      </c>
      <c r="BO18" s="81">
        <v>463</v>
      </c>
      <c r="BP18" s="81">
        <v>710</v>
      </c>
      <c r="BQ18" s="87">
        <v>37500</v>
      </c>
      <c r="BR18" s="87">
        <f>37500+400</f>
        <v>37900</v>
      </c>
      <c r="BS18" s="81">
        <v>45000</v>
      </c>
      <c r="BT18" s="81"/>
      <c r="BU18" s="81"/>
      <c r="BV18" s="81"/>
      <c r="BW18" s="87">
        <f t="shared" ref="BW18:BY21" si="30">SUM(AP18,AS18,AV18,AY18,BB18,BE18,BH18,BK18,BN18,BQ18,BT18)</f>
        <v>47731</v>
      </c>
      <c r="BX18" s="87">
        <f t="shared" si="30"/>
        <v>48131</v>
      </c>
      <c r="BY18" s="87">
        <f t="shared" si="30"/>
        <v>56580</v>
      </c>
      <c r="BZ18" s="81"/>
      <c r="CA18" s="81"/>
      <c r="CB18" s="81"/>
      <c r="CC18" s="81"/>
      <c r="CD18" s="81"/>
      <c r="CE18" s="81"/>
      <c r="CF18" s="81">
        <v>28190</v>
      </c>
      <c r="CG18" s="81">
        <v>28190</v>
      </c>
      <c r="CH18" s="81">
        <v>31700</v>
      </c>
      <c r="CI18" s="81"/>
      <c r="CJ18" s="81"/>
      <c r="CK18" s="81"/>
      <c r="CL18" s="87">
        <v>1070</v>
      </c>
      <c r="CM18" s="81">
        <f>200+200+670</f>
        <v>1070</v>
      </c>
      <c r="CN18" s="81">
        <v>1150</v>
      </c>
      <c r="CO18" s="87">
        <v>20508</v>
      </c>
      <c r="CP18" s="87">
        <f>20508-300</f>
        <v>20208</v>
      </c>
      <c r="CQ18" s="81">
        <v>21350</v>
      </c>
      <c r="CR18" s="81">
        <f t="shared" ref="CR18:CT21" si="31">SUM(BZ18,CC18,CF18,CI18,CL18,CO18)</f>
        <v>49768</v>
      </c>
      <c r="CS18" s="81">
        <f t="shared" si="31"/>
        <v>49468</v>
      </c>
      <c r="CT18" s="81">
        <f t="shared" si="31"/>
        <v>54200</v>
      </c>
      <c r="CU18" s="81"/>
      <c r="CV18" s="81"/>
      <c r="CW18" s="81"/>
      <c r="CX18" s="81"/>
      <c r="CY18" s="81"/>
      <c r="CZ18" s="81"/>
      <c r="DA18" s="81"/>
      <c r="DB18" s="81"/>
      <c r="DC18" s="81"/>
      <c r="DD18" s="87">
        <v>25830</v>
      </c>
      <c r="DE18" s="87">
        <v>25830</v>
      </c>
      <c r="DF18" s="81">
        <v>28750</v>
      </c>
      <c r="DG18" s="81">
        <v>28600</v>
      </c>
      <c r="DH18" s="81">
        <v>28600</v>
      </c>
      <c r="DI18" s="81">
        <v>33700</v>
      </c>
      <c r="DJ18" s="81">
        <f t="shared" ref="DJ18:DL21" si="32">SUM(DM18,DP18)</f>
        <v>56185</v>
      </c>
      <c r="DK18" s="81">
        <f t="shared" si="32"/>
        <v>56185</v>
      </c>
      <c r="DL18" s="81">
        <f t="shared" si="32"/>
        <v>67080</v>
      </c>
      <c r="DM18" s="87">
        <v>20374</v>
      </c>
      <c r="DN18" s="87">
        <v>20374</v>
      </c>
      <c r="DO18" s="81">
        <v>25650</v>
      </c>
      <c r="DP18" s="81">
        <v>35811</v>
      </c>
      <c r="DQ18" s="81">
        <v>35811</v>
      </c>
      <c r="DR18" s="81">
        <v>41430</v>
      </c>
      <c r="DS18" s="81">
        <f t="shared" ref="DS18:DU21" si="33">SUM(CU18,CX18,DA18,DD18,DG18,DJ18)</f>
        <v>110615</v>
      </c>
      <c r="DT18" s="81">
        <f t="shared" si="33"/>
        <v>110615</v>
      </c>
      <c r="DU18" s="81">
        <f t="shared" si="33"/>
        <v>129530</v>
      </c>
      <c r="DV18" s="81"/>
      <c r="DW18" s="81"/>
      <c r="DX18" s="81"/>
      <c r="DY18" s="81"/>
      <c r="DZ18" s="81">
        <v>0</v>
      </c>
      <c r="EA18" s="81"/>
      <c r="EB18" s="81">
        <f t="shared" ref="EB18:ED21" si="34">SUM(DV18,DY18)</f>
        <v>0</v>
      </c>
      <c r="EC18" s="81">
        <f t="shared" si="34"/>
        <v>0</v>
      </c>
      <c r="ED18" s="81">
        <f t="shared" si="34"/>
        <v>0</v>
      </c>
      <c r="EE18" s="87">
        <f t="shared" ref="EE18:EG21" si="35">SUM(I18,R18,AA18,AM18,BW18,CR18,DS18,EB18)</f>
        <v>325956</v>
      </c>
      <c r="EF18" s="87">
        <f t="shared" si="35"/>
        <v>327200</v>
      </c>
      <c r="EG18" s="87">
        <f t="shared" si="35"/>
        <v>368040</v>
      </c>
      <c r="EH18" s="96" t="s">
        <v>82</v>
      </c>
    </row>
    <row r="19" spans="1:148">
      <c r="A19" s="33" t="s">
        <v>83</v>
      </c>
      <c r="B19" s="34" t="s">
        <v>84</v>
      </c>
      <c r="C19" s="81"/>
      <c r="D19" s="81"/>
      <c r="E19" s="81"/>
      <c r="F19" s="87"/>
      <c r="G19" s="87"/>
      <c r="H19" s="81"/>
      <c r="I19" s="81">
        <f t="shared" si="26"/>
        <v>0</v>
      </c>
      <c r="J19" s="81">
        <f t="shared" si="26"/>
        <v>0</v>
      </c>
      <c r="K19" s="81">
        <f t="shared" si="26"/>
        <v>0</v>
      </c>
      <c r="L19" s="81"/>
      <c r="M19" s="81"/>
      <c r="N19" s="81"/>
      <c r="O19" s="81">
        <v>844</v>
      </c>
      <c r="P19" s="81">
        <f>844+50+90</f>
        <v>984</v>
      </c>
      <c r="Q19" s="81"/>
      <c r="R19" s="87">
        <f t="shared" si="27"/>
        <v>844</v>
      </c>
      <c r="S19" s="87">
        <f t="shared" si="27"/>
        <v>984</v>
      </c>
      <c r="T19" s="87">
        <f t="shared" si="27"/>
        <v>0</v>
      </c>
      <c r="U19" s="81">
        <v>0</v>
      </c>
      <c r="V19" s="81">
        <v>0</v>
      </c>
      <c r="W19" s="81">
        <v>0</v>
      </c>
      <c r="X19" s="81"/>
      <c r="Y19" s="81"/>
      <c r="Z19" s="81"/>
      <c r="AA19" s="87">
        <f t="shared" si="28"/>
        <v>0</v>
      </c>
      <c r="AB19" s="87">
        <f t="shared" si="28"/>
        <v>0</v>
      </c>
      <c r="AC19" s="87">
        <f t="shared" si="28"/>
        <v>0</v>
      </c>
      <c r="AD19" s="87"/>
      <c r="AE19" s="87"/>
      <c r="AF19" s="81"/>
      <c r="AG19" s="81"/>
      <c r="AH19" s="81"/>
      <c r="AI19" s="81"/>
      <c r="AJ19" s="81"/>
      <c r="AK19" s="81"/>
      <c r="AL19" s="81"/>
      <c r="AM19" s="87">
        <f t="shared" si="29"/>
        <v>0</v>
      </c>
      <c r="AN19" s="87">
        <f t="shared" si="29"/>
        <v>0</v>
      </c>
      <c r="AO19" s="87">
        <f t="shared" si="29"/>
        <v>0</v>
      </c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7"/>
      <c r="BC19" s="87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7"/>
      <c r="BR19" s="87"/>
      <c r="BS19" s="81"/>
      <c r="BT19" s="81"/>
      <c r="BU19" s="81"/>
      <c r="BV19" s="81"/>
      <c r="BW19" s="87">
        <f t="shared" si="30"/>
        <v>0</v>
      </c>
      <c r="BX19" s="87">
        <f t="shared" si="30"/>
        <v>0</v>
      </c>
      <c r="BY19" s="87">
        <f t="shared" si="30"/>
        <v>0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95"/>
      <c r="CM19" s="81"/>
      <c r="CN19" s="81"/>
      <c r="CO19" s="87"/>
      <c r="CP19" s="87"/>
      <c r="CQ19" s="81"/>
      <c r="CR19" s="81">
        <f t="shared" si="31"/>
        <v>0</v>
      </c>
      <c r="CS19" s="81">
        <f t="shared" si="31"/>
        <v>0</v>
      </c>
      <c r="CT19" s="81">
        <f t="shared" si="31"/>
        <v>0</v>
      </c>
      <c r="CU19" s="81"/>
      <c r="CV19" s="81"/>
      <c r="CW19" s="81"/>
      <c r="CX19" s="81"/>
      <c r="CY19" s="81"/>
      <c r="CZ19" s="81"/>
      <c r="DA19" s="81"/>
      <c r="DB19" s="81"/>
      <c r="DC19" s="81"/>
      <c r="DD19" s="87"/>
      <c r="DE19" s="87"/>
      <c r="DF19" s="81"/>
      <c r="DG19" s="81"/>
      <c r="DH19" s="81"/>
      <c r="DI19" s="81"/>
      <c r="DJ19" s="81">
        <f t="shared" si="32"/>
        <v>0</v>
      </c>
      <c r="DK19" s="81">
        <f t="shared" si="32"/>
        <v>0</v>
      </c>
      <c r="DL19" s="81">
        <f t="shared" si="32"/>
        <v>0</v>
      </c>
      <c r="DM19" s="87"/>
      <c r="DN19" s="87"/>
      <c r="DO19" s="81"/>
      <c r="DP19" s="81"/>
      <c r="DQ19" s="81"/>
      <c r="DR19" s="81"/>
      <c r="DS19" s="81">
        <f t="shared" si="33"/>
        <v>0</v>
      </c>
      <c r="DT19" s="81">
        <f t="shared" si="33"/>
        <v>0</v>
      </c>
      <c r="DU19" s="81">
        <f t="shared" si="33"/>
        <v>0</v>
      </c>
      <c r="DV19" s="81"/>
      <c r="DW19" s="81"/>
      <c r="DX19" s="81"/>
      <c r="DY19" s="81"/>
      <c r="DZ19" s="81">
        <v>0</v>
      </c>
      <c r="EA19" s="81"/>
      <c r="EB19" s="81">
        <f t="shared" si="34"/>
        <v>0</v>
      </c>
      <c r="EC19" s="81">
        <f t="shared" si="34"/>
        <v>0</v>
      </c>
      <c r="ED19" s="81">
        <f t="shared" si="34"/>
        <v>0</v>
      </c>
      <c r="EE19" s="87">
        <f t="shared" si="35"/>
        <v>844</v>
      </c>
      <c r="EF19" s="87">
        <f t="shared" si="35"/>
        <v>984</v>
      </c>
      <c r="EG19" s="87">
        <f t="shared" si="35"/>
        <v>0</v>
      </c>
      <c r="EH19" s="96" t="s">
        <v>84</v>
      </c>
    </row>
    <row r="20" spans="1:148">
      <c r="A20" s="33" t="s">
        <v>85</v>
      </c>
      <c r="B20" s="34" t="s">
        <v>86</v>
      </c>
      <c r="C20" s="81"/>
      <c r="D20" s="81"/>
      <c r="E20" s="81"/>
      <c r="F20" s="87">
        <v>31230</v>
      </c>
      <c r="G20" s="87">
        <v>31230</v>
      </c>
      <c r="H20" s="81">
        <v>33800</v>
      </c>
      <c r="I20" s="81">
        <f t="shared" si="26"/>
        <v>31230</v>
      </c>
      <c r="J20" s="81">
        <f t="shared" si="26"/>
        <v>31230</v>
      </c>
      <c r="K20" s="81">
        <f t="shared" si="26"/>
        <v>33800</v>
      </c>
      <c r="L20" s="81"/>
      <c r="M20" s="81"/>
      <c r="N20" s="81"/>
      <c r="O20" s="81">
        <v>1243</v>
      </c>
      <c r="P20" s="81">
        <f>1243+30+115</f>
        <v>1388</v>
      </c>
      <c r="Q20" s="81"/>
      <c r="R20" s="87">
        <f t="shared" si="27"/>
        <v>1243</v>
      </c>
      <c r="S20" s="87">
        <f t="shared" si="27"/>
        <v>1388</v>
      </c>
      <c r="T20" s="87">
        <f t="shared" si="27"/>
        <v>0</v>
      </c>
      <c r="U20" s="81">
        <v>0</v>
      </c>
      <c r="V20" s="81">
        <v>0</v>
      </c>
      <c r="W20" s="81">
        <v>0</v>
      </c>
      <c r="X20" s="81"/>
      <c r="Y20" s="81"/>
      <c r="Z20" s="81"/>
      <c r="AA20" s="87">
        <f t="shared" si="28"/>
        <v>0</v>
      </c>
      <c r="AB20" s="87">
        <f t="shared" si="28"/>
        <v>0</v>
      </c>
      <c r="AC20" s="87">
        <f t="shared" si="28"/>
        <v>0</v>
      </c>
      <c r="AD20" s="87">
        <v>14650</v>
      </c>
      <c r="AE20" s="87">
        <f>14650+250+200</f>
        <v>15100</v>
      </c>
      <c r="AF20" s="81">
        <v>17700</v>
      </c>
      <c r="AG20" s="81"/>
      <c r="AH20" s="81"/>
      <c r="AI20" s="81"/>
      <c r="AJ20" s="81"/>
      <c r="AK20" s="81"/>
      <c r="AL20" s="81"/>
      <c r="AM20" s="87">
        <f t="shared" si="29"/>
        <v>14650</v>
      </c>
      <c r="AN20" s="87">
        <f t="shared" si="29"/>
        <v>15100</v>
      </c>
      <c r="AO20" s="87">
        <f t="shared" si="29"/>
        <v>17700</v>
      </c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7">
        <v>3850</v>
      </c>
      <c r="BC20" s="87">
        <v>3850</v>
      </c>
      <c r="BD20" s="81">
        <v>4500</v>
      </c>
      <c r="BE20" s="81"/>
      <c r="BF20" s="81"/>
      <c r="BG20" s="81"/>
      <c r="BH20" s="81">
        <v>290</v>
      </c>
      <c r="BI20" s="81">
        <v>290</v>
      </c>
      <c r="BJ20" s="81"/>
      <c r="BK20" s="81"/>
      <c r="BL20" s="81"/>
      <c r="BM20" s="81"/>
      <c r="BN20" s="81">
        <v>270</v>
      </c>
      <c r="BO20" s="81">
        <v>270</v>
      </c>
      <c r="BP20" s="81">
        <v>420</v>
      </c>
      <c r="BQ20" s="87">
        <v>14500</v>
      </c>
      <c r="BR20" s="87">
        <f>14500+100</f>
        <v>14600</v>
      </c>
      <c r="BS20" s="81">
        <v>16800</v>
      </c>
      <c r="BT20" s="81"/>
      <c r="BU20" s="81"/>
      <c r="BV20" s="81"/>
      <c r="BW20" s="87">
        <f t="shared" si="30"/>
        <v>18910</v>
      </c>
      <c r="BX20" s="87">
        <f t="shared" si="30"/>
        <v>19010</v>
      </c>
      <c r="BY20" s="87">
        <f t="shared" si="30"/>
        <v>21720</v>
      </c>
      <c r="BZ20" s="81"/>
      <c r="CA20" s="81"/>
      <c r="CB20" s="81"/>
      <c r="CC20" s="81"/>
      <c r="CD20" s="81"/>
      <c r="CE20" s="81"/>
      <c r="CF20" s="81">
        <v>12060</v>
      </c>
      <c r="CG20" s="81">
        <v>12060</v>
      </c>
      <c r="CH20" s="81">
        <v>13600</v>
      </c>
      <c r="CI20" s="81"/>
      <c r="CJ20" s="81"/>
      <c r="CK20" s="81"/>
      <c r="CL20" s="87">
        <v>610</v>
      </c>
      <c r="CM20" s="81">
        <f>130+130+350</f>
        <v>610</v>
      </c>
      <c r="CN20" s="81">
        <v>650</v>
      </c>
      <c r="CO20" s="87">
        <v>7997</v>
      </c>
      <c r="CP20" s="87">
        <v>7997</v>
      </c>
      <c r="CQ20" s="81">
        <v>8850</v>
      </c>
      <c r="CR20" s="81">
        <f t="shared" si="31"/>
        <v>20667</v>
      </c>
      <c r="CS20" s="81">
        <f t="shared" si="31"/>
        <v>20667</v>
      </c>
      <c r="CT20" s="81">
        <f t="shared" si="31"/>
        <v>23100</v>
      </c>
      <c r="CU20" s="81"/>
      <c r="CV20" s="81"/>
      <c r="CW20" s="81"/>
      <c r="CX20" s="81"/>
      <c r="CY20" s="81"/>
      <c r="CZ20" s="81"/>
      <c r="DA20" s="81"/>
      <c r="DB20" s="81"/>
      <c r="DC20" s="81"/>
      <c r="DD20" s="87">
        <v>11800</v>
      </c>
      <c r="DE20" s="87">
        <v>11800</v>
      </c>
      <c r="DF20" s="81">
        <v>12550</v>
      </c>
      <c r="DG20" s="81">
        <v>11900</v>
      </c>
      <c r="DH20" s="81">
        <v>11900</v>
      </c>
      <c r="DI20" s="81">
        <v>14020</v>
      </c>
      <c r="DJ20" s="81">
        <f t="shared" si="32"/>
        <v>22409</v>
      </c>
      <c r="DK20" s="81">
        <f t="shared" si="32"/>
        <v>22409</v>
      </c>
      <c r="DL20" s="81">
        <f t="shared" si="32"/>
        <v>26248</v>
      </c>
      <c r="DM20" s="87">
        <v>8525</v>
      </c>
      <c r="DN20" s="87">
        <v>8525</v>
      </c>
      <c r="DO20" s="81">
        <v>10600</v>
      </c>
      <c r="DP20" s="81">
        <v>13884</v>
      </c>
      <c r="DQ20" s="81">
        <v>13884</v>
      </c>
      <c r="DR20" s="81">
        <v>15648</v>
      </c>
      <c r="DS20" s="81">
        <f t="shared" si="33"/>
        <v>46109</v>
      </c>
      <c r="DT20" s="81">
        <f t="shared" si="33"/>
        <v>46109</v>
      </c>
      <c r="DU20" s="81">
        <f t="shared" si="33"/>
        <v>52818</v>
      </c>
      <c r="DV20" s="81"/>
      <c r="DW20" s="81"/>
      <c r="DX20" s="81"/>
      <c r="DY20" s="81"/>
      <c r="DZ20" s="81">
        <v>0</v>
      </c>
      <c r="EA20" s="81"/>
      <c r="EB20" s="81">
        <f t="shared" si="34"/>
        <v>0</v>
      </c>
      <c r="EC20" s="81">
        <f t="shared" si="34"/>
        <v>0</v>
      </c>
      <c r="ED20" s="81">
        <f t="shared" si="34"/>
        <v>0</v>
      </c>
      <c r="EE20" s="87">
        <f t="shared" si="35"/>
        <v>132809</v>
      </c>
      <c r="EF20" s="87">
        <f t="shared" si="35"/>
        <v>133504</v>
      </c>
      <c r="EG20" s="87">
        <f t="shared" si="35"/>
        <v>149138</v>
      </c>
      <c r="EH20" s="96" t="s">
        <v>86</v>
      </c>
    </row>
    <row r="21" spans="1:148">
      <c r="A21" s="33" t="s">
        <v>87</v>
      </c>
      <c r="B21" s="34" t="s">
        <v>88</v>
      </c>
      <c r="C21" s="81"/>
      <c r="D21" s="81"/>
      <c r="E21" s="81"/>
      <c r="F21" s="87">
        <v>12500</v>
      </c>
      <c r="G21" s="87">
        <v>12500</v>
      </c>
      <c r="H21" s="81">
        <v>15000</v>
      </c>
      <c r="I21" s="81">
        <f t="shared" si="26"/>
        <v>12500</v>
      </c>
      <c r="J21" s="81">
        <f t="shared" si="26"/>
        <v>12500</v>
      </c>
      <c r="K21" s="81">
        <f t="shared" si="26"/>
        <v>15000</v>
      </c>
      <c r="L21" s="81"/>
      <c r="M21" s="81"/>
      <c r="N21" s="81"/>
      <c r="O21" s="81">
        <v>714</v>
      </c>
      <c r="P21" s="81">
        <f>714+20+76</f>
        <v>810</v>
      </c>
      <c r="Q21" s="81"/>
      <c r="R21" s="87">
        <f t="shared" si="27"/>
        <v>714</v>
      </c>
      <c r="S21" s="87">
        <f t="shared" si="27"/>
        <v>810</v>
      </c>
      <c r="T21" s="87">
        <f t="shared" si="27"/>
        <v>0</v>
      </c>
      <c r="U21" s="81">
        <v>0</v>
      </c>
      <c r="V21" s="81">
        <v>0</v>
      </c>
      <c r="W21" s="81">
        <v>0</v>
      </c>
      <c r="X21" s="81"/>
      <c r="Y21" s="81"/>
      <c r="Z21" s="81"/>
      <c r="AA21" s="87">
        <f t="shared" si="28"/>
        <v>0</v>
      </c>
      <c r="AB21" s="87">
        <f t="shared" si="28"/>
        <v>0</v>
      </c>
      <c r="AC21" s="87">
        <f t="shared" si="28"/>
        <v>0</v>
      </c>
      <c r="AD21" s="87">
        <v>8240</v>
      </c>
      <c r="AE21" s="87">
        <f>8240+100</f>
        <v>8340</v>
      </c>
      <c r="AF21" s="81">
        <v>10100</v>
      </c>
      <c r="AG21" s="81"/>
      <c r="AH21" s="81"/>
      <c r="AI21" s="81"/>
      <c r="AJ21" s="81"/>
      <c r="AK21" s="81"/>
      <c r="AL21" s="81"/>
      <c r="AM21" s="87">
        <f t="shared" si="29"/>
        <v>8240</v>
      </c>
      <c r="AN21" s="87">
        <f t="shared" si="29"/>
        <v>8340</v>
      </c>
      <c r="AO21" s="87">
        <f t="shared" si="29"/>
        <v>10100</v>
      </c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7">
        <v>2297</v>
      </c>
      <c r="BC21" s="87">
        <v>2297</v>
      </c>
      <c r="BD21" s="81">
        <v>2650</v>
      </c>
      <c r="BE21" s="81"/>
      <c r="BF21" s="81"/>
      <c r="BG21" s="81"/>
      <c r="BH21" s="81">
        <v>170</v>
      </c>
      <c r="BI21" s="81">
        <v>170</v>
      </c>
      <c r="BJ21" s="81"/>
      <c r="BK21" s="81"/>
      <c r="BL21" s="81"/>
      <c r="BM21" s="81"/>
      <c r="BN21" s="81">
        <v>158</v>
      </c>
      <c r="BO21" s="81">
        <v>158</v>
      </c>
      <c r="BP21" s="81">
        <v>245</v>
      </c>
      <c r="BQ21" s="87">
        <v>6500</v>
      </c>
      <c r="BR21" s="87">
        <v>6500</v>
      </c>
      <c r="BS21" s="81">
        <v>7200</v>
      </c>
      <c r="BT21" s="81"/>
      <c r="BU21" s="81"/>
      <c r="BV21" s="81"/>
      <c r="BW21" s="87">
        <f t="shared" si="30"/>
        <v>9125</v>
      </c>
      <c r="BX21" s="87">
        <f t="shared" si="30"/>
        <v>9125</v>
      </c>
      <c r="BY21" s="87">
        <f t="shared" si="30"/>
        <v>10095</v>
      </c>
      <c r="BZ21" s="81"/>
      <c r="CA21" s="81"/>
      <c r="CB21" s="81"/>
      <c r="CC21" s="81"/>
      <c r="CD21" s="81"/>
      <c r="CE21" s="81"/>
      <c r="CF21" s="81">
        <v>7030</v>
      </c>
      <c r="CG21" s="81">
        <v>7030</v>
      </c>
      <c r="CH21" s="81">
        <v>7800</v>
      </c>
      <c r="CI21" s="81"/>
      <c r="CJ21" s="81"/>
      <c r="CK21" s="81"/>
      <c r="CL21" s="87">
        <v>420</v>
      </c>
      <c r="CM21" s="81">
        <f>70+70+280</f>
        <v>420</v>
      </c>
      <c r="CN21" s="81">
        <v>400</v>
      </c>
      <c r="CO21" s="87">
        <v>3000</v>
      </c>
      <c r="CP21" s="87">
        <f>3000+300</f>
        <v>3300</v>
      </c>
      <c r="CQ21" s="81">
        <v>4200</v>
      </c>
      <c r="CR21" s="81">
        <f t="shared" si="31"/>
        <v>10450</v>
      </c>
      <c r="CS21" s="81">
        <f t="shared" si="31"/>
        <v>10750</v>
      </c>
      <c r="CT21" s="81">
        <f t="shared" si="31"/>
        <v>12400</v>
      </c>
      <c r="CU21" s="81"/>
      <c r="CV21" s="81"/>
      <c r="CW21" s="81"/>
      <c r="CX21" s="81"/>
      <c r="CY21" s="81"/>
      <c r="CZ21" s="81"/>
      <c r="DA21" s="81"/>
      <c r="DB21" s="81"/>
      <c r="DC21" s="81"/>
      <c r="DD21" s="87">
        <v>4850</v>
      </c>
      <c r="DE21" s="87">
        <v>4850</v>
      </c>
      <c r="DF21" s="81">
        <v>6300</v>
      </c>
      <c r="DG21" s="81">
        <v>6900</v>
      </c>
      <c r="DH21" s="81">
        <v>6900</v>
      </c>
      <c r="DI21" s="81">
        <v>8180</v>
      </c>
      <c r="DJ21" s="81">
        <f t="shared" si="32"/>
        <v>11825</v>
      </c>
      <c r="DK21" s="81">
        <f t="shared" si="32"/>
        <v>11825</v>
      </c>
      <c r="DL21" s="81">
        <f t="shared" si="32"/>
        <v>13500</v>
      </c>
      <c r="DM21" s="87">
        <v>3950</v>
      </c>
      <c r="DN21" s="87">
        <v>3950</v>
      </c>
      <c r="DO21" s="81">
        <v>4500</v>
      </c>
      <c r="DP21" s="81">
        <v>7875</v>
      </c>
      <c r="DQ21" s="81">
        <v>7875</v>
      </c>
      <c r="DR21" s="81">
        <v>9000</v>
      </c>
      <c r="DS21" s="81">
        <f t="shared" si="33"/>
        <v>23575</v>
      </c>
      <c r="DT21" s="81">
        <f t="shared" si="33"/>
        <v>23575</v>
      </c>
      <c r="DU21" s="81">
        <f t="shared" si="33"/>
        <v>27980</v>
      </c>
      <c r="DV21" s="81"/>
      <c r="DW21" s="81"/>
      <c r="DX21" s="81"/>
      <c r="DY21" s="81"/>
      <c r="DZ21" s="81">
        <v>0</v>
      </c>
      <c r="EA21" s="81"/>
      <c r="EB21" s="81">
        <f t="shared" si="34"/>
        <v>0</v>
      </c>
      <c r="EC21" s="81">
        <f t="shared" si="34"/>
        <v>0</v>
      </c>
      <c r="ED21" s="81">
        <f t="shared" si="34"/>
        <v>0</v>
      </c>
      <c r="EE21" s="87">
        <f t="shared" si="35"/>
        <v>64604</v>
      </c>
      <c r="EF21" s="87">
        <f t="shared" si="35"/>
        <v>65100</v>
      </c>
      <c r="EG21" s="87">
        <f t="shared" si="35"/>
        <v>75575</v>
      </c>
      <c r="EH21" s="96" t="s">
        <v>88</v>
      </c>
    </row>
    <row r="22" spans="1:148" s="32" customFormat="1">
      <c r="A22" s="39" t="s">
        <v>89</v>
      </c>
      <c r="B22" s="25" t="s">
        <v>90</v>
      </c>
      <c r="C22" s="80">
        <f>SUM(C23:C38)</f>
        <v>1830619</v>
      </c>
      <c r="D22" s="85">
        <f>SUM(D23:D38)</f>
        <v>1837005</v>
      </c>
      <c r="E22" s="85">
        <f t="shared" ref="E22:AZ22" si="36">SUM(E23:E38)</f>
        <v>1905453</v>
      </c>
      <c r="F22" s="98">
        <f t="shared" si="36"/>
        <v>187109</v>
      </c>
      <c r="G22" s="85">
        <f>SUM(G23:G38)</f>
        <v>187003</v>
      </c>
      <c r="H22" s="85">
        <f t="shared" si="36"/>
        <v>196185</v>
      </c>
      <c r="I22" s="85">
        <f t="shared" si="36"/>
        <v>2017728</v>
      </c>
      <c r="J22" s="85">
        <f t="shared" si="36"/>
        <v>2024008</v>
      </c>
      <c r="K22" s="85">
        <f t="shared" si="36"/>
        <v>2101638</v>
      </c>
      <c r="L22" s="85">
        <f>SUM(L23:L38)</f>
        <v>0</v>
      </c>
      <c r="M22" s="85">
        <f>SUM(M23:M38)</f>
        <v>0</v>
      </c>
      <c r="N22" s="85">
        <f t="shared" si="36"/>
        <v>0</v>
      </c>
      <c r="O22" s="80">
        <f t="shared" si="36"/>
        <v>6720</v>
      </c>
      <c r="P22" s="85">
        <f>SUM(P23:P38)</f>
        <v>3670</v>
      </c>
      <c r="Q22" s="85">
        <f t="shared" si="36"/>
        <v>0</v>
      </c>
      <c r="R22" s="85">
        <f t="shared" si="36"/>
        <v>6720</v>
      </c>
      <c r="S22" s="85">
        <f t="shared" si="36"/>
        <v>3670</v>
      </c>
      <c r="T22" s="85">
        <f t="shared" si="36"/>
        <v>0</v>
      </c>
      <c r="U22" s="85">
        <f>SUM(U23:U38)</f>
        <v>0</v>
      </c>
      <c r="V22" s="85">
        <f>SUM(V23:V38)</f>
        <v>0</v>
      </c>
      <c r="W22" s="85">
        <f t="shared" si="36"/>
        <v>0</v>
      </c>
      <c r="X22" s="80">
        <f>SUM(X23:X38)</f>
        <v>92163</v>
      </c>
      <c r="Y22" s="85">
        <f>SUM(Y23:Y38)</f>
        <v>92163</v>
      </c>
      <c r="Z22" s="85">
        <f t="shared" si="36"/>
        <v>98100</v>
      </c>
      <c r="AA22" s="85">
        <f t="shared" si="36"/>
        <v>92163</v>
      </c>
      <c r="AB22" s="85">
        <f t="shared" si="36"/>
        <v>92163</v>
      </c>
      <c r="AC22" s="85">
        <f t="shared" si="36"/>
        <v>98100</v>
      </c>
      <c r="AD22" s="80">
        <f t="shared" si="36"/>
        <v>591415</v>
      </c>
      <c r="AE22" s="85">
        <f t="shared" si="36"/>
        <v>591415</v>
      </c>
      <c r="AF22" s="85">
        <f t="shared" si="36"/>
        <v>654590</v>
      </c>
      <c r="AG22" s="80">
        <f t="shared" si="36"/>
        <v>29300</v>
      </c>
      <c r="AH22" s="85">
        <f t="shared" si="36"/>
        <v>29300</v>
      </c>
      <c r="AI22" s="85">
        <f t="shared" si="36"/>
        <v>29650</v>
      </c>
      <c r="AJ22" s="80">
        <f t="shared" si="36"/>
        <v>16000</v>
      </c>
      <c r="AK22" s="80">
        <f>SUM(AK23:AK38)</f>
        <v>16000</v>
      </c>
      <c r="AL22" s="85">
        <f t="shared" si="36"/>
        <v>17000</v>
      </c>
      <c r="AM22" s="85">
        <f t="shared" si="36"/>
        <v>636715</v>
      </c>
      <c r="AN22" s="85">
        <f t="shared" si="36"/>
        <v>636715</v>
      </c>
      <c r="AO22" s="85">
        <f t="shared" si="36"/>
        <v>701240</v>
      </c>
      <c r="AP22" s="85">
        <f t="shared" si="36"/>
        <v>0</v>
      </c>
      <c r="AQ22" s="85">
        <f t="shared" si="36"/>
        <v>0</v>
      </c>
      <c r="AR22" s="85">
        <f t="shared" si="36"/>
        <v>0</v>
      </c>
      <c r="AS22" s="80">
        <f>SUM(AS23:AS38)</f>
        <v>1152000</v>
      </c>
      <c r="AT22" s="85">
        <f t="shared" si="36"/>
        <v>1152000</v>
      </c>
      <c r="AU22" s="85">
        <f t="shared" si="36"/>
        <v>1300000</v>
      </c>
      <c r="AV22" s="80">
        <f t="shared" si="36"/>
        <v>500000</v>
      </c>
      <c r="AW22" s="85">
        <f t="shared" si="36"/>
        <v>500000</v>
      </c>
      <c r="AX22" s="85">
        <f t="shared" si="36"/>
        <v>500000</v>
      </c>
      <c r="AY22" s="80">
        <f>SUM(AY23:AY38)</f>
        <v>195850</v>
      </c>
      <c r="AZ22" s="85">
        <f t="shared" si="36"/>
        <v>195850</v>
      </c>
      <c r="BA22" s="85">
        <f t="shared" ref="BA22:CT22" si="37">SUM(BA23:BA38)</f>
        <v>245900</v>
      </c>
      <c r="BB22" s="80">
        <f>SUM(BB23:BB38)</f>
        <v>205250</v>
      </c>
      <c r="BC22" s="85">
        <f>SUM(BC23:BC38)</f>
        <v>189550</v>
      </c>
      <c r="BD22" s="85">
        <f t="shared" si="37"/>
        <v>184350</v>
      </c>
      <c r="BE22" s="80">
        <f>SUM(BE23:BE38)</f>
        <v>780000</v>
      </c>
      <c r="BF22" s="85">
        <f>SUM(BF23:BF38)</f>
        <v>840700</v>
      </c>
      <c r="BG22" s="85">
        <f t="shared" si="37"/>
        <v>855000</v>
      </c>
      <c r="BH22" s="80">
        <f>SUM(BH23:BH38)</f>
        <v>3605706</v>
      </c>
      <c r="BI22" s="85">
        <f>SUM(BI23:BI38)</f>
        <v>3522631</v>
      </c>
      <c r="BJ22" s="85">
        <f t="shared" si="37"/>
        <v>3318148</v>
      </c>
      <c r="BK22" s="85">
        <f t="shared" si="37"/>
        <v>0</v>
      </c>
      <c r="BL22" s="85">
        <f t="shared" si="37"/>
        <v>0</v>
      </c>
      <c r="BM22" s="85">
        <f t="shared" si="37"/>
        <v>0</v>
      </c>
      <c r="BN22" s="80">
        <f t="shared" si="37"/>
        <v>15000</v>
      </c>
      <c r="BO22" s="85">
        <f>SUM(BO23:BO38)</f>
        <v>15000</v>
      </c>
      <c r="BP22" s="85">
        <f t="shared" si="37"/>
        <v>15000</v>
      </c>
      <c r="BQ22" s="80">
        <f>SUM(BQ23:BQ38)</f>
        <v>613510</v>
      </c>
      <c r="BR22" s="85">
        <f>SUM(BR23:BR38)</f>
        <v>613510</v>
      </c>
      <c r="BS22" s="85">
        <f t="shared" si="37"/>
        <v>648010</v>
      </c>
      <c r="BT22" s="85">
        <f t="shared" si="37"/>
        <v>17616</v>
      </c>
      <c r="BU22" s="85">
        <f t="shared" si="37"/>
        <v>17616</v>
      </c>
      <c r="BV22" s="85">
        <f t="shared" si="37"/>
        <v>0</v>
      </c>
      <c r="BW22" s="85">
        <f t="shared" si="37"/>
        <v>7084932</v>
      </c>
      <c r="BX22" s="85">
        <f t="shared" si="37"/>
        <v>7046857</v>
      </c>
      <c r="BY22" s="85">
        <f t="shared" si="37"/>
        <v>7066408</v>
      </c>
      <c r="BZ22" s="80">
        <f>SUM(BZ23:BZ38)</f>
        <v>157000</v>
      </c>
      <c r="CA22" s="85">
        <f>SUM(CA23:CA38)</f>
        <v>157000</v>
      </c>
      <c r="CB22" s="85">
        <f t="shared" si="37"/>
        <v>198500</v>
      </c>
      <c r="CC22" s="85">
        <f t="shared" si="37"/>
        <v>0</v>
      </c>
      <c r="CD22" s="85">
        <f t="shared" si="37"/>
        <v>0</v>
      </c>
      <c r="CE22" s="85">
        <f t="shared" si="37"/>
        <v>0</v>
      </c>
      <c r="CF22" s="80">
        <f>SUM(CF23:CF38)</f>
        <v>163954</v>
      </c>
      <c r="CG22" s="85">
        <f>SUM(CG23:CG38)</f>
        <v>163954</v>
      </c>
      <c r="CH22" s="85">
        <f t="shared" si="37"/>
        <v>138950</v>
      </c>
      <c r="CI22" s="80">
        <f t="shared" si="37"/>
        <v>20000</v>
      </c>
      <c r="CJ22" s="85">
        <f t="shared" si="37"/>
        <v>20000</v>
      </c>
      <c r="CK22" s="85">
        <f t="shared" si="37"/>
        <v>22100</v>
      </c>
      <c r="CL22" s="80">
        <f>SUM(CL23:CL38)</f>
        <v>208300</v>
      </c>
      <c r="CM22" s="85">
        <f>SUM(CM23:CM38)</f>
        <v>278300</v>
      </c>
      <c r="CN22" s="85">
        <f t="shared" si="37"/>
        <v>245000</v>
      </c>
      <c r="CO22" s="80">
        <f>SUM(CO23:CO38)</f>
        <v>537030</v>
      </c>
      <c r="CP22" s="85">
        <f>SUM(CP23:CP38)</f>
        <v>529030</v>
      </c>
      <c r="CQ22" s="85">
        <f t="shared" si="37"/>
        <v>582150</v>
      </c>
      <c r="CR22" s="85">
        <f t="shared" si="37"/>
        <v>1086284</v>
      </c>
      <c r="CS22" s="85">
        <f t="shared" si="37"/>
        <v>1148284</v>
      </c>
      <c r="CT22" s="85">
        <f t="shared" si="37"/>
        <v>1186700</v>
      </c>
      <c r="CU22" s="80">
        <f>SUM(CU23:CU38)</f>
        <v>335600</v>
      </c>
      <c r="CV22" s="85">
        <f>SUM(CV23:CV38)</f>
        <v>370580</v>
      </c>
      <c r="CW22" s="85">
        <f t="shared" ref="CW22:EG22" si="38">SUM(CW23:CW38)</f>
        <v>458000</v>
      </c>
      <c r="CX22" s="80">
        <f t="shared" si="38"/>
        <v>837900</v>
      </c>
      <c r="CY22" s="85">
        <f t="shared" si="38"/>
        <v>837900</v>
      </c>
      <c r="CZ22" s="85">
        <f t="shared" si="38"/>
        <v>838100</v>
      </c>
      <c r="DA22" s="85">
        <f t="shared" si="38"/>
        <v>4000</v>
      </c>
      <c r="DB22" s="85">
        <f t="shared" si="38"/>
        <v>4000</v>
      </c>
      <c r="DC22" s="85">
        <f t="shared" si="38"/>
        <v>0</v>
      </c>
      <c r="DD22" s="80">
        <f>SUM(DD23:DD38)</f>
        <v>108430</v>
      </c>
      <c r="DE22" s="85">
        <f>SUM(DE23:DE38)</f>
        <v>108430</v>
      </c>
      <c r="DF22" s="85">
        <f t="shared" si="38"/>
        <v>114300</v>
      </c>
      <c r="DG22" s="80">
        <f>SUM(DG23:DG38)</f>
        <v>275700</v>
      </c>
      <c r="DH22" s="85">
        <f>SUM(DH23:DH38)</f>
        <v>275700</v>
      </c>
      <c r="DI22" s="85">
        <f t="shared" si="38"/>
        <v>275600</v>
      </c>
      <c r="DJ22" s="85">
        <f t="shared" si="38"/>
        <v>1051310</v>
      </c>
      <c r="DK22" s="85">
        <f t="shared" si="38"/>
        <v>936310</v>
      </c>
      <c r="DL22" s="85">
        <f t="shared" si="38"/>
        <v>1492020</v>
      </c>
      <c r="DM22" s="98">
        <f>SUM(DM23:DM38)</f>
        <v>1016950</v>
      </c>
      <c r="DN22" s="85">
        <f>SUM(DN23:DN38)</f>
        <v>901950</v>
      </c>
      <c r="DO22" s="85">
        <f t="shared" si="38"/>
        <v>1447410</v>
      </c>
      <c r="DP22" s="80">
        <f>SUM(DP23:DP38)</f>
        <v>34360</v>
      </c>
      <c r="DQ22" s="85">
        <f>SUM(DQ23:DQ38)</f>
        <v>34360</v>
      </c>
      <c r="DR22" s="85">
        <f t="shared" si="38"/>
        <v>44610</v>
      </c>
      <c r="DS22" s="85">
        <f t="shared" si="38"/>
        <v>2612940</v>
      </c>
      <c r="DT22" s="85">
        <f t="shared" si="38"/>
        <v>2532920</v>
      </c>
      <c r="DU22" s="85">
        <f t="shared" si="38"/>
        <v>3178020</v>
      </c>
      <c r="DV22" s="85">
        <f t="shared" si="38"/>
        <v>0</v>
      </c>
      <c r="DW22" s="85">
        <f>SUM(DW23:DW38)</f>
        <v>0</v>
      </c>
      <c r="DX22" s="85">
        <f t="shared" si="38"/>
        <v>0</v>
      </c>
      <c r="DY22" s="85">
        <f t="shared" si="38"/>
        <v>0</v>
      </c>
      <c r="DZ22" s="85">
        <f t="shared" si="38"/>
        <v>0</v>
      </c>
      <c r="EA22" s="85">
        <f t="shared" si="38"/>
        <v>0</v>
      </c>
      <c r="EB22" s="85">
        <f t="shared" si="38"/>
        <v>0</v>
      </c>
      <c r="EC22" s="85">
        <f t="shared" si="38"/>
        <v>0</v>
      </c>
      <c r="ED22" s="85">
        <f t="shared" si="38"/>
        <v>0</v>
      </c>
      <c r="EE22" s="91">
        <f t="shared" si="38"/>
        <v>13537482</v>
      </c>
      <c r="EF22" s="91">
        <f t="shared" si="38"/>
        <v>13484617</v>
      </c>
      <c r="EG22" s="91">
        <f t="shared" si="38"/>
        <v>14332106</v>
      </c>
      <c r="EH22" s="94" t="s">
        <v>90</v>
      </c>
      <c r="ER22" s="59"/>
    </row>
    <row r="23" spans="1:148">
      <c r="A23" s="33" t="s">
        <v>91</v>
      </c>
      <c r="B23" s="34" t="s">
        <v>92</v>
      </c>
      <c r="C23" s="95"/>
      <c r="D23" s="95"/>
      <c r="E23" s="81"/>
      <c r="F23" s="99"/>
      <c r="G23" s="87"/>
      <c r="H23" s="81">
        <v>0</v>
      </c>
      <c r="I23" s="81">
        <f t="shared" ref="I23:I38" si="39">SUM(C23,F23)</f>
        <v>0</v>
      </c>
      <c r="J23" s="81">
        <f t="shared" ref="J23:J38" si="40">SUM(D23,G23)</f>
        <v>0</v>
      </c>
      <c r="K23" s="81">
        <f t="shared" ref="K23:K38" si="41">SUM(E23,H23)</f>
        <v>0</v>
      </c>
      <c r="L23" s="81"/>
      <c r="M23" s="81"/>
      <c r="N23" s="81"/>
      <c r="O23" s="81">
        <v>0</v>
      </c>
      <c r="P23" s="81">
        <v>0</v>
      </c>
      <c r="Q23" s="81">
        <v>0</v>
      </c>
      <c r="R23" s="87">
        <f t="shared" ref="R23:R38" si="42">SUM(L23,O23)</f>
        <v>0</v>
      </c>
      <c r="S23" s="87">
        <f t="shared" ref="S23:S38" si="43">SUM(M23,P23)</f>
        <v>0</v>
      </c>
      <c r="T23" s="87">
        <f t="shared" ref="T23:T38" si="44">SUM(N23,Q23)</f>
        <v>0</v>
      </c>
      <c r="U23" s="81">
        <v>0</v>
      </c>
      <c r="V23" s="81">
        <v>0</v>
      </c>
      <c r="W23" s="81">
        <v>0</v>
      </c>
      <c r="X23" s="87">
        <v>65000</v>
      </c>
      <c r="Y23" s="87">
        <f>65000+4000</f>
        <v>69000</v>
      </c>
      <c r="Z23" s="81">
        <v>75000</v>
      </c>
      <c r="AA23" s="87">
        <f t="shared" ref="AA23:AA38" si="45">U23+X23</f>
        <v>65000</v>
      </c>
      <c r="AB23" s="87">
        <f t="shared" ref="AB23:AB38" si="46">V23+Y23</f>
        <v>69000</v>
      </c>
      <c r="AC23" s="87">
        <f t="shared" ref="AC23:AC38" si="47">W23+Z23</f>
        <v>75000</v>
      </c>
      <c r="AD23" s="87">
        <v>557815</v>
      </c>
      <c r="AE23" s="87">
        <v>557815</v>
      </c>
      <c r="AF23" s="81">
        <v>623340</v>
      </c>
      <c r="AG23" s="95"/>
      <c r="AH23" s="95"/>
      <c r="AI23" s="81">
        <v>0</v>
      </c>
      <c r="AJ23" s="95"/>
      <c r="AK23" s="95"/>
      <c r="AL23" s="81"/>
      <c r="AM23" s="87">
        <f t="shared" ref="AM23:AM38" si="48">AD23+AG23+AJ23</f>
        <v>557815</v>
      </c>
      <c r="AN23" s="87">
        <f t="shared" ref="AN23:AN38" si="49">AE23+AH23+AK23</f>
        <v>557815</v>
      </c>
      <c r="AO23" s="87">
        <f t="shared" ref="AO23:AO38" si="50">AF23+AI23+AL23</f>
        <v>623340</v>
      </c>
      <c r="AP23" s="81">
        <v>0</v>
      </c>
      <c r="AQ23" s="81">
        <v>0</v>
      </c>
      <c r="AR23" s="81">
        <v>0</v>
      </c>
      <c r="AS23" s="95"/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95"/>
      <c r="AZ23" s="81">
        <v>0</v>
      </c>
      <c r="BA23" s="81">
        <v>0</v>
      </c>
      <c r="BB23" s="87"/>
      <c r="BC23" s="87"/>
      <c r="BD23" s="81"/>
      <c r="BE23" s="95"/>
      <c r="BF23" s="95"/>
      <c r="BG23" s="81">
        <v>0</v>
      </c>
      <c r="BH23" s="81">
        <v>0</v>
      </c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  <c r="BQ23" s="87"/>
      <c r="BR23" s="87"/>
      <c r="BS23" s="81">
        <v>0</v>
      </c>
      <c r="BT23" s="81"/>
      <c r="BU23" s="81"/>
      <c r="BV23" s="81"/>
      <c r="BW23" s="87">
        <f t="shared" ref="BW23:BW38" si="51">SUM(AP23,AS23,AV23,AY23,BB23,BE23,BH23,BK23,BN23,BQ23,BT23)</f>
        <v>0</v>
      </c>
      <c r="BX23" s="87">
        <f t="shared" ref="BX23:BX38" si="52">SUM(AQ23,AT23,AW23,AZ23,BC23,BF23,BI23,BL23,BO23,BR23,BU23)</f>
        <v>0</v>
      </c>
      <c r="BY23" s="87">
        <f t="shared" ref="BY23:BY38" si="53">SUM(AR23,AU23,AX23,BA23,BD23,BG23,BJ23,BM23,BP23,BS23,BV23)</f>
        <v>0</v>
      </c>
      <c r="BZ23" s="81">
        <v>500</v>
      </c>
      <c r="CA23" s="81">
        <f>500+1000</f>
        <v>1500</v>
      </c>
      <c r="CB23" s="81"/>
      <c r="CC23" s="81"/>
      <c r="CD23" s="81"/>
      <c r="CE23" s="81"/>
      <c r="CF23" s="81">
        <v>300</v>
      </c>
      <c r="CG23" s="81">
        <v>300</v>
      </c>
      <c r="CH23" s="81">
        <v>500</v>
      </c>
      <c r="CI23" s="81">
        <v>0</v>
      </c>
      <c r="CJ23" s="81">
        <v>0</v>
      </c>
      <c r="CK23" s="81">
        <v>0</v>
      </c>
      <c r="CL23" s="87">
        <v>7000</v>
      </c>
      <c r="CM23" s="87">
        <v>7000</v>
      </c>
      <c r="CN23" s="81">
        <v>7000</v>
      </c>
      <c r="CO23" s="87"/>
      <c r="CP23" s="87"/>
      <c r="CQ23" s="81">
        <v>0</v>
      </c>
      <c r="CR23" s="81">
        <f t="shared" ref="CR23:CR38" si="54">SUM(BZ23,CC23,CF23,CI23,CL23,CO23)</f>
        <v>7800</v>
      </c>
      <c r="CS23" s="81">
        <f t="shared" ref="CS23:CS38" si="55">SUM(CA23,CD23,CG23,CJ23,CM23,CP23)</f>
        <v>8800</v>
      </c>
      <c r="CT23" s="81">
        <f t="shared" ref="CT23:CT38" si="56">SUM(CB23,CE23,CH23,CK23,CN23,CQ23)</f>
        <v>7500</v>
      </c>
      <c r="CU23" s="87"/>
      <c r="CV23" s="87"/>
      <c r="CW23" s="81">
        <v>0</v>
      </c>
      <c r="CX23" s="81">
        <v>0</v>
      </c>
      <c r="CY23" s="81">
        <v>0</v>
      </c>
      <c r="CZ23" s="81">
        <v>0</v>
      </c>
      <c r="DA23" s="81">
        <v>0</v>
      </c>
      <c r="DB23" s="81">
        <v>0</v>
      </c>
      <c r="DC23" s="81">
        <v>0</v>
      </c>
      <c r="DD23" s="87"/>
      <c r="DE23" s="87"/>
      <c r="DF23" s="81">
        <v>0</v>
      </c>
      <c r="DG23" s="81"/>
      <c r="DH23" s="81"/>
      <c r="DI23" s="81">
        <v>0</v>
      </c>
      <c r="DJ23" s="81">
        <f t="shared" ref="DJ23:DJ38" si="57">SUM(DM23,DP23)</f>
        <v>0</v>
      </c>
      <c r="DK23" s="81">
        <f t="shared" ref="DK23:DK38" si="58">SUM(DN23,DQ23)</f>
        <v>0</v>
      </c>
      <c r="DL23" s="81">
        <f t="shared" ref="DL23:DL38" si="59">SUM(DO23,DR23)</f>
        <v>0</v>
      </c>
      <c r="DM23" s="99"/>
      <c r="DN23" s="87"/>
      <c r="DO23" s="81">
        <v>0</v>
      </c>
      <c r="DP23" s="81">
        <v>0</v>
      </c>
      <c r="DQ23" s="81">
        <v>0</v>
      </c>
      <c r="DR23" s="81">
        <v>0</v>
      </c>
      <c r="DS23" s="81">
        <f t="shared" ref="DS23:DS38" si="60">SUM(CU23,CX23,DA23,DD23,DG23,DJ23)</f>
        <v>0</v>
      </c>
      <c r="DT23" s="81">
        <f t="shared" ref="DT23:DT38" si="61">SUM(CV23,CY23,DB23,DE23,DH23,DK23)</f>
        <v>0</v>
      </c>
      <c r="DU23" s="81">
        <f t="shared" ref="DU23:DU38" si="62">SUM(CW23,CZ23,DC23,DF23,DI23,DL23)</f>
        <v>0</v>
      </c>
      <c r="DV23" s="81">
        <v>0</v>
      </c>
      <c r="DW23" s="81">
        <v>0</v>
      </c>
      <c r="DX23" s="81">
        <v>0</v>
      </c>
      <c r="DY23" s="81">
        <v>0</v>
      </c>
      <c r="DZ23" s="81">
        <v>0</v>
      </c>
      <c r="EA23" s="81">
        <v>0</v>
      </c>
      <c r="EB23" s="81">
        <f t="shared" ref="EB23:EB38" si="63">SUM(DV23,DY23)</f>
        <v>0</v>
      </c>
      <c r="EC23" s="81">
        <f t="shared" ref="EC23:EC38" si="64">SUM(DW23,DZ23)</f>
        <v>0</v>
      </c>
      <c r="ED23" s="81">
        <f t="shared" ref="ED23:ED38" si="65">SUM(DX23,EA23)</f>
        <v>0</v>
      </c>
      <c r="EE23" s="87">
        <f t="shared" ref="EE23:EE38" si="66">SUM(I23,R23,AA23,AM23,BW23,CR23,DS23,EB23)</f>
        <v>630615</v>
      </c>
      <c r="EF23" s="87">
        <f t="shared" ref="EF23:EF38" si="67">SUM(J23,S23,AB23,AN23,BX23,CS23,DT23,EC23)</f>
        <v>635615</v>
      </c>
      <c r="EG23" s="87">
        <f t="shared" ref="EG23:EG38" si="68">SUM(K23,T23,AC23,AO23,BY23,CT23,DU23,ED23)</f>
        <v>705840</v>
      </c>
      <c r="EH23" s="96" t="s">
        <v>92</v>
      </c>
    </row>
    <row r="24" spans="1:148">
      <c r="A24" s="33" t="s">
        <v>93</v>
      </c>
      <c r="B24" s="34" t="s">
        <v>94</v>
      </c>
      <c r="C24" s="95"/>
      <c r="D24" s="95"/>
      <c r="E24" s="81"/>
      <c r="F24" s="99"/>
      <c r="G24" s="87"/>
      <c r="H24" s="81">
        <v>0</v>
      </c>
      <c r="I24" s="81">
        <f t="shared" si="39"/>
        <v>0</v>
      </c>
      <c r="J24" s="81">
        <f t="shared" si="40"/>
        <v>0</v>
      </c>
      <c r="K24" s="81">
        <f t="shared" si="41"/>
        <v>0</v>
      </c>
      <c r="L24" s="81"/>
      <c r="M24" s="81"/>
      <c r="N24" s="81"/>
      <c r="O24" s="81">
        <v>0</v>
      </c>
      <c r="P24" s="81">
        <v>0</v>
      </c>
      <c r="Q24" s="81">
        <v>0</v>
      </c>
      <c r="R24" s="87">
        <f t="shared" si="42"/>
        <v>0</v>
      </c>
      <c r="S24" s="87">
        <f t="shared" si="43"/>
        <v>0</v>
      </c>
      <c r="T24" s="87">
        <f t="shared" si="44"/>
        <v>0</v>
      </c>
      <c r="U24" s="81">
        <v>0</v>
      </c>
      <c r="V24" s="81">
        <v>0</v>
      </c>
      <c r="W24" s="81">
        <v>0</v>
      </c>
      <c r="X24" s="87"/>
      <c r="Y24" s="87"/>
      <c r="Z24" s="81"/>
      <c r="AA24" s="87">
        <f t="shared" si="45"/>
        <v>0</v>
      </c>
      <c r="AB24" s="87">
        <f t="shared" si="46"/>
        <v>0</v>
      </c>
      <c r="AC24" s="87">
        <f t="shared" si="47"/>
        <v>0</v>
      </c>
      <c r="AD24" s="87"/>
      <c r="AE24" s="87"/>
      <c r="AF24" s="81"/>
      <c r="AG24" s="95"/>
      <c r="AH24" s="95"/>
      <c r="AI24" s="81">
        <v>0</v>
      </c>
      <c r="AJ24" s="95"/>
      <c r="AK24" s="95"/>
      <c r="AL24" s="81">
        <v>0</v>
      </c>
      <c r="AM24" s="87">
        <f t="shared" si="48"/>
        <v>0</v>
      </c>
      <c r="AN24" s="87">
        <f t="shared" si="49"/>
        <v>0</v>
      </c>
      <c r="AO24" s="87">
        <f t="shared" si="50"/>
        <v>0</v>
      </c>
      <c r="AP24" s="81">
        <v>0</v>
      </c>
      <c r="AQ24" s="81">
        <v>0</v>
      </c>
      <c r="AR24" s="81">
        <v>0</v>
      </c>
      <c r="AS24" s="95"/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95"/>
      <c r="AZ24" s="81">
        <v>0</v>
      </c>
      <c r="BA24" s="81">
        <v>0</v>
      </c>
      <c r="BB24" s="87"/>
      <c r="BC24" s="87"/>
      <c r="BD24" s="81"/>
      <c r="BE24" s="95"/>
      <c r="BF24" s="95"/>
      <c r="BG24" s="81">
        <v>0</v>
      </c>
      <c r="BH24" s="81">
        <v>0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/>
      <c r="BO24" s="81"/>
      <c r="BP24" s="81"/>
      <c r="BQ24" s="87">
        <v>200</v>
      </c>
      <c r="BR24" s="87">
        <v>200</v>
      </c>
      <c r="BS24" s="81">
        <v>200</v>
      </c>
      <c r="BT24" s="81"/>
      <c r="BU24" s="81"/>
      <c r="BV24" s="81"/>
      <c r="BW24" s="87">
        <f t="shared" si="51"/>
        <v>200</v>
      </c>
      <c r="BX24" s="87">
        <f t="shared" si="52"/>
        <v>200</v>
      </c>
      <c r="BY24" s="87">
        <f t="shared" si="53"/>
        <v>200</v>
      </c>
      <c r="BZ24" s="81"/>
      <c r="CA24" s="81"/>
      <c r="CB24" s="81"/>
      <c r="CC24" s="81"/>
      <c r="CD24" s="81"/>
      <c r="CE24" s="81"/>
      <c r="CF24" s="81"/>
      <c r="CG24" s="81"/>
      <c r="CH24" s="81"/>
      <c r="CI24" s="81">
        <v>0</v>
      </c>
      <c r="CJ24" s="81">
        <v>0</v>
      </c>
      <c r="CK24" s="81">
        <v>0</v>
      </c>
      <c r="CL24" s="87"/>
      <c r="CM24" s="87"/>
      <c r="CN24" s="81"/>
      <c r="CO24" s="87"/>
      <c r="CP24" s="87"/>
      <c r="CQ24" s="81"/>
      <c r="CR24" s="81">
        <f t="shared" si="54"/>
        <v>0</v>
      </c>
      <c r="CS24" s="81">
        <f t="shared" si="55"/>
        <v>0</v>
      </c>
      <c r="CT24" s="81">
        <f t="shared" si="56"/>
        <v>0</v>
      </c>
      <c r="CU24" s="87"/>
      <c r="CV24" s="87"/>
      <c r="CW24" s="81">
        <v>0</v>
      </c>
      <c r="CX24" s="81">
        <v>0</v>
      </c>
      <c r="CY24" s="81">
        <v>0</v>
      </c>
      <c r="CZ24" s="81">
        <v>0</v>
      </c>
      <c r="DA24" s="81">
        <v>0</v>
      </c>
      <c r="DB24" s="81">
        <v>0</v>
      </c>
      <c r="DC24" s="81">
        <v>0</v>
      </c>
      <c r="DD24" s="87"/>
      <c r="DE24" s="87"/>
      <c r="DF24" s="81">
        <v>0</v>
      </c>
      <c r="DG24" s="81">
        <v>400</v>
      </c>
      <c r="DH24" s="81">
        <v>400</v>
      </c>
      <c r="DI24" s="81">
        <v>400</v>
      </c>
      <c r="DJ24" s="81">
        <f t="shared" si="57"/>
        <v>0</v>
      </c>
      <c r="DK24" s="81">
        <f t="shared" si="58"/>
        <v>0</v>
      </c>
      <c r="DL24" s="81">
        <f t="shared" si="59"/>
        <v>0</v>
      </c>
      <c r="DM24" s="99"/>
      <c r="DN24" s="87"/>
      <c r="DO24" s="81">
        <v>0</v>
      </c>
      <c r="DP24" s="81">
        <v>0</v>
      </c>
      <c r="DQ24" s="81">
        <v>0</v>
      </c>
      <c r="DR24" s="81">
        <v>0</v>
      </c>
      <c r="DS24" s="81">
        <f t="shared" si="60"/>
        <v>400</v>
      </c>
      <c r="DT24" s="81">
        <f t="shared" si="61"/>
        <v>400</v>
      </c>
      <c r="DU24" s="81">
        <f t="shared" si="62"/>
        <v>400</v>
      </c>
      <c r="DV24" s="81">
        <v>0</v>
      </c>
      <c r="DW24" s="81">
        <v>0</v>
      </c>
      <c r="DX24" s="81">
        <v>0</v>
      </c>
      <c r="DY24" s="81">
        <v>0</v>
      </c>
      <c r="DZ24" s="81">
        <v>0</v>
      </c>
      <c r="EA24" s="81">
        <v>0</v>
      </c>
      <c r="EB24" s="81">
        <f t="shared" si="63"/>
        <v>0</v>
      </c>
      <c r="EC24" s="81">
        <f t="shared" si="64"/>
        <v>0</v>
      </c>
      <c r="ED24" s="81">
        <f t="shared" si="65"/>
        <v>0</v>
      </c>
      <c r="EE24" s="87">
        <f t="shared" si="66"/>
        <v>600</v>
      </c>
      <c r="EF24" s="87">
        <f t="shared" si="67"/>
        <v>600</v>
      </c>
      <c r="EG24" s="87">
        <f t="shared" si="68"/>
        <v>600</v>
      </c>
      <c r="EH24" s="96" t="s">
        <v>94</v>
      </c>
    </row>
    <row r="25" spans="1:148">
      <c r="A25" s="33" t="s">
        <v>95</v>
      </c>
      <c r="B25" s="34" t="s">
        <v>96</v>
      </c>
      <c r="C25" s="87">
        <v>30000</v>
      </c>
      <c r="D25" s="87">
        <v>30000</v>
      </c>
      <c r="E25" s="81">
        <v>30000</v>
      </c>
      <c r="F25" s="99">
        <v>450</v>
      </c>
      <c r="G25" s="87">
        <v>450</v>
      </c>
      <c r="H25" s="81">
        <v>450</v>
      </c>
      <c r="I25" s="81">
        <f t="shared" si="39"/>
        <v>30450</v>
      </c>
      <c r="J25" s="81">
        <f t="shared" si="40"/>
        <v>30450</v>
      </c>
      <c r="K25" s="81">
        <f t="shared" si="41"/>
        <v>30450</v>
      </c>
      <c r="L25" s="81"/>
      <c r="M25" s="81"/>
      <c r="N25" s="81"/>
      <c r="O25" s="81">
        <v>200</v>
      </c>
      <c r="P25" s="81">
        <f>200-200</f>
        <v>0</v>
      </c>
      <c r="Q25" s="81"/>
      <c r="R25" s="87">
        <f t="shared" si="42"/>
        <v>200</v>
      </c>
      <c r="S25" s="87">
        <f t="shared" si="43"/>
        <v>0</v>
      </c>
      <c r="T25" s="87">
        <f t="shared" si="44"/>
        <v>0</v>
      </c>
      <c r="U25" s="81">
        <v>0</v>
      </c>
      <c r="V25" s="81">
        <v>0</v>
      </c>
      <c r="W25" s="81">
        <v>0</v>
      </c>
      <c r="X25" s="87"/>
      <c r="Y25" s="87"/>
      <c r="Z25" s="81"/>
      <c r="AA25" s="87">
        <f t="shared" si="45"/>
        <v>0</v>
      </c>
      <c r="AB25" s="87">
        <f t="shared" si="46"/>
        <v>0</v>
      </c>
      <c r="AC25" s="87">
        <f t="shared" si="47"/>
        <v>0</v>
      </c>
      <c r="AD25" s="87">
        <v>4550</v>
      </c>
      <c r="AE25" s="87">
        <v>4550</v>
      </c>
      <c r="AF25" s="81">
        <v>4700</v>
      </c>
      <c r="AG25" s="95"/>
      <c r="AH25" s="95"/>
      <c r="AI25" s="81"/>
      <c r="AJ25" s="95"/>
      <c r="AK25" s="95"/>
      <c r="AL25" s="81"/>
      <c r="AM25" s="87">
        <f t="shared" si="48"/>
        <v>4550</v>
      </c>
      <c r="AN25" s="87">
        <f t="shared" si="49"/>
        <v>4550</v>
      </c>
      <c r="AO25" s="87">
        <f t="shared" si="50"/>
        <v>4700</v>
      </c>
      <c r="AP25" s="81"/>
      <c r="AQ25" s="81"/>
      <c r="AR25" s="81"/>
      <c r="AS25" s="95"/>
      <c r="AT25" s="81"/>
      <c r="AU25" s="81"/>
      <c r="AV25" s="81"/>
      <c r="AW25" s="81"/>
      <c r="AX25" s="81"/>
      <c r="AY25" s="95"/>
      <c r="AZ25" s="81"/>
      <c r="BA25" s="81"/>
      <c r="BB25" s="87">
        <v>1250</v>
      </c>
      <c r="BC25" s="87">
        <v>1250</v>
      </c>
      <c r="BD25" s="81">
        <v>1250</v>
      </c>
      <c r="BE25" s="95"/>
      <c r="BF25" s="95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7">
        <v>4200</v>
      </c>
      <c r="BR25" s="87">
        <v>4200</v>
      </c>
      <c r="BS25" s="81">
        <v>4200</v>
      </c>
      <c r="BT25" s="81"/>
      <c r="BU25" s="81"/>
      <c r="BV25" s="81"/>
      <c r="BW25" s="87">
        <f t="shared" si="51"/>
        <v>5450</v>
      </c>
      <c r="BX25" s="87">
        <f t="shared" si="52"/>
        <v>5450</v>
      </c>
      <c r="BY25" s="87">
        <f t="shared" si="53"/>
        <v>5450</v>
      </c>
      <c r="BZ25" s="81"/>
      <c r="CA25" s="81"/>
      <c r="CB25" s="81"/>
      <c r="CC25" s="81"/>
      <c r="CD25" s="81"/>
      <c r="CE25" s="81"/>
      <c r="CF25" s="81">
        <v>3950</v>
      </c>
      <c r="CG25" s="81">
        <v>3950</v>
      </c>
      <c r="CH25" s="81">
        <v>3950</v>
      </c>
      <c r="CI25" s="81"/>
      <c r="CJ25" s="81"/>
      <c r="CK25" s="81"/>
      <c r="CL25" s="87"/>
      <c r="CM25" s="87"/>
      <c r="CN25" s="81"/>
      <c r="CO25" s="87">
        <v>2250</v>
      </c>
      <c r="CP25" s="87">
        <v>2250</v>
      </c>
      <c r="CQ25" s="81">
        <v>2250</v>
      </c>
      <c r="CR25" s="81">
        <f t="shared" si="54"/>
        <v>6200</v>
      </c>
      <c r="CS25" s="81">
        <f t="shared" si="55"/>
        <v>6200</v>
      </c>
      <c r="CT25" s="81">
        <f t="shared" si="56"/>
        <v>6200</v>
      </c>
      <c r="CU25" s="87"/>
      <c r="CV25" s="87"/>
      <c r="CW25" s="81"/>
      <c r="CX25" s="81"/>
      <c r="CY25" s="81"/>
      <c r="CZ25" s="81"/>
      <c r="DA25" s="81"/>
      <c r="DB25" s="81"/>
      <c r="DC25" s="81"/>
      <c r="DD25" s="87">
        <v>3700</v>
      </c>
      <c r="DE25" s="87">
        <v>3700</v>
      </c>
      <c r="DF25" s="81">
        <v>3700</v>
      </c>
      <c r="DG25" s="81">
        <v>3700</v>
      </c>
      <c r="DH25" s="81">
        <v>3700</v>
      </c>
      <c r="DI25" s="81">
        <v>4000</v>
      </c>
      <c r="DJ25" s="81">
        <f t="shared" si="57"/>
        <v>7500</v>
      </c>
      <c r="DK25" s="81">
        <f t="shared" si="58"/>
        <v>7500</v>
      </c>
      <c r="DL25" s="81">
        <f t="shared" si="59"/>
        <v>7500</v>
      </c>
      <c r="DM25" s="99">
        <v>2250</v>
      </c>
      <c r="DN25" s="87">
        <v>2250</v>
      </c>
      <c r="DO25" s="81">
        <v>2250</v>
      </c>
      <c r="DP25" s="81">
        <v>5250</v>
      </c>
      <c r="DQ25" s="81">
        <v>5250</v>
      </c>
      <c r="DR25" s="81">
        <v>5250</v>
      </c>
      <c r="DS25" s="81">
        <f t="shared" si="60"/>
        <v>14900</v>
      </c>
      <c r="DT25" s="81">
        <f t="shared" si="61"/>
        <v>14900</v>
      </c>
      <c r="DU25" s="81">
        <f t="shared" si="62"/>
        <v>15200</v>
      </c>
      <c r="DV25" s="81"/>
      <c r="DW25" s="81"/>
      <c r="DX25" s="81"/>
      <c r="DY25" s="81"/>
      <c r="DZ25" s="81"/>
      <c r="EA25" s="81"/>
      <c r="EB25" s="81">
        <f t="shared" si="63"/>
        <v>0</v>
      </c>
      <c r="EC25" s="81">
        <f t="shared" si="64"/>
        <v>0</v>
      </c>
      <c r="ED25" s="81">
        <f t="shared" si="65"/>
        <v>0</v>
      </c>
      <c r="EE25" s="87">
        <f t="shared" si="66"/>
        <v>61750</v>
      </c>
      <c r="EF25" s="87">
        <f t="shared" si="67"/>
        <v>61550</v>
      </c>
      <c r="EG25" s="87">
        <f t="shared" si="68"/>
        <v>62000</v>
      </c>
      <c r="EH25" s="96" t="s">
        <v>96</v>
      </c>
    </row>
    <row r="26" spans="1:148">
      <c r="A26" s="33" t="s">
        <v>97</v>
      </c>
      <c r="B26" s="34" t="s">
        <v>98</v>
      </c>
      <c r="C26" s="87">
        <v>4000</v>
      </c>
      <c r="D26" s="87">
        <v>4000</v>
      </c>
      <c r="E26" s="81">
        <v>4000</v>
      </c>
      <c r="F26" s="99"/>
      <c r="G26" s="87"/>
      <c r="H26" s="81"/>
      <c r="I26" s="81">
        <f t="shared" si="39"/>
        <v>4000</v>
      </c>
      <c r="J26" s="81">
        <f t="shared" si="40"/>
        <v>4000</v>
      </c>
      <c r="K26" s="81">
        <f t="shared" si="41"/>
        <v>4000</v>
      </c>
      <c r="L26" s="81"/>
      <c r="M26" s="81"/>
      <c r="N26" s="81"/>
      <c r="O26" s="81">
        <v>170</v>
      </c>
      <c r="P26" s="81">
        <v>170</v>
      </c>
      <c r="Q26" s="81"/>
      <c r="R26" s="87">
        <f t="shared" si="42"/>
        <v>170</v>
      </c>
      <c r="S26" s="87">
        <f t="shared" si="43"/>
        <v>170</v>
      </c>
      <c r="T26" s="87">
        <f t="shared" si="44"/>
        <v>0</v>
      </c>
      <c r="U26" s="81">
        <v>0</v>
      </c>
      <c r="V26" s="81">
        <v>0</v>
      </c>
      <c r="W26" s="81">
        <v>0</v>
      </c>
      <c r="X26" s="87"/>
      <c r="Y26" s="87"/>
      <c r="Z26" s="81"/>
      <c r="AA26" s="87">
        <f t="shared" si="45"/>
        <v>0</v>
      </c>
      <c r="AB26" s="87">
        <f t="shared" si="46"/>
        <v>0</v>
      </c>
      <c r="AC26" s="87">
        <f t="shared" si="47"/>
        <v>0</v>
      </c>
      <c r="AD26" s="87"/>
      <c r="AE26" s="87"/>
      <c r="AF26" s="81"/>
      <c r="AG26" s="95"/>
      <c r="AH26" s="95"/>
      <c r="AI26" s="81"/>
      <c r="AJ26" s="95"/>
      <c r="AK26" s="95"/>
      <c r="AL26" s="81"/>
      <c r="AM26" s="87">
        <f t="shared" si="48"/>
        <v>0</v>
      </c>
      <c r="AN26" s="87">
        <f t="shared" si="49"/>
        <v>0</v>
      </c>
      <c r="AO26" s="87">
        <f t="shared" si="50"/>
        <v>0</v>
      </c>
      <c r="AP26" s="81"/>
      <c r="AQ26" s="81"/>
      <c r="AR26" s="81"/>
      <c r="AS26" s="95"/>
      <c r="AT26" s="81"/>
      <c r="AU26" s="81"/>
      <c r="AV26" s="81"/>
      <c r="AW26" s="81"/>
      <c r="AX26" s="81"/>
      <c r="AY26" s="95"/>
      <c r="AZ26" s="81"/>
      <c r="BA26" s="81"/>
      <c r="BB26" s="87"/>
      <c r="BC26" s="87"/>
      <c r="BD26" s="81"/>
      <c r="BE26" s="95"/>
      <c r="BF26" s="95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7"/>
      <c r="BR26" s="87"/>
      <c r="BS26" s="81"/>
      <c r="BT26" s="81"/>
      <c r="BU26" s="81"/>
      <c r="BV26" s="81"/>
      <c r="BW26" s="87">
        <f t="shared" si="51"/>
        <v>0</v>
      </c>
      <c r="BX26" s="87">
        <f t="shared" si="52"/>
        <v>0</v>
      </c>
      <c r="BY26" s="87">
        <f t="shared" si="53"/>
        <v>0</v>
      </c>
      <c r="BZ26" s="81"/>
      <c r="CA26" s="81"/>
      <c r="CB26" s="81"/>
      <c r="CC26" s="81"/>
      <c r="CD26" s="81"/>
      <c r="CE26" s="81"/>
      <c r="CF26" s="81">
        <v>27349</v>
      </c>
      <c r="CG26" s="81">
        <f>27349-5000</f>
        <v>22349</v>
      </c>
      <c r="CH26" s="81">
        <v>16000</v>
      </c>
      <c r="CI26" s="81"/>
      <c r="CJ26" s="81"/>
      <c r="CK26" s="81"/>
      <c r="CL26" s="87">
        <v>1000</v>
      </c>
      <c r="CM26" s="87">
        <v>1000</v>
      </c>
      <c r="CN26" s="81">
        <v>1000</v>
      </c>
      <c r="CO26" s="87"/>
      <c r="CP26" s="87"/>
      <c r="CQ26" s="81"/>
      <c r="CR26" s="81">
        <f t="shared" si="54"/>
        <v>28349</v>
      </c>
      <c r="CS26" s="81">
        <f t="shared" si="55"/>
        <v>23349</v>
      </c>
      <c r="CT26" s="81">
        <f t="shared" si="56"/>
        <v>17000</v>
      </c>
      <c r="CU26" s="87"/>
      <c r="CV26" s="87"/>
      <c r="CW26" s="81"/>
      <c r="CX26" s="81"/>
      <c r="CY26" s="81"/>
      <c r="CZ26" s="81"/>
      <c r="DA26" s="81"/>
      <c r="DB26" s="81"/>
      <c r="DC26" s="81"/>
      <c r="DD26" s="87"/>
      <c r="DE26" s="87"/>
      <c r="DF26" s="81"/>
      <c r="DG26" s="81">
        <v>1200</v>
      </c>
      <c r="DH26" s="81">
        <v>1200</v>
      </c>
      <c r="DI26" s="81">
        <v>1200</v>
      </c>
      <c r="DJ26" s="81">
        <f t="shared" si="57"/>
        <v>500</v>
      </c>
      <c r="DK26" s="81">
        <f t="shared" si="58"/>
        <v>500</v>
      </c>
      <c r="DL26" s="81">
        <f t="shared" si="59"/>
        <v>500</v>
      </c>
      <c r="DM26" s="99"/>
      <c r="DN26" s="87"/>
      <c r="DO26" s="81"/>
      <c r="DP26" s="81">
        <v>500</v>
      </c>
      <c r="DQ26" s="81">
        <v>500</v>
      </c>
      <c r="DR26" s="81">
        <v>500</v>
      </c>
      <c r="DS26" s="81">
        <f t="shared" si="60"/>
        <v>1700</v>
      </c>
      <c r="DT26" s="81">
        <f t="shared" si="61"/>
        <v>1700</v>
      </c>
      <c r="DU26" s="81">
        <f t="shared" si="62"/>
        <v>1700</v>
      </c>
      <c r="DV26" s="81"/>
      <c r="DW26" s="81"/>
      <c r="DX26" s="81"/>
      <c r="DY26" s="81"/>
      <c r="DZ26" s="81"/>
      <c r="EA26" s="81"/>
      <c r="EB26" s="81">
        <f t="shared" si="63"/>
        <v>0</v>
      </c>
      <c r="EC26" s="81">
        <f t="shared" si="64"/>
        <v>0</v>
      </c>
      <c r="ED26" s="81">
        <f t="shared" si="65"/>
        <v>0</v>
      </c>
      <c r="EE26" s="87">
        <f t="shared" si="66"/>
        <v>34219</v>
      </c>
      <c r="EF26" s="87">
        <f t="shared" si="67"/>
        <v>29219</v>
      </c>
      <c r="EG26" s="87">
        <f t="shared" si="68"/>
        <v>22700</v>
      </c>
      <c r="EH26" s="96" t="s">
        <v>98</v>
      </c>
    </row>
    <row r="27" spans="1:148">
      <c r="A27" s="33" t="s">
        <v>99</v>
      </c>
      <c r="B27" s="34" t="s">
        <v>100</v>
      </c>
      <c r="C27" s="87">
        <f>399000-25000-20000</f>
        <v>354000</v>
      </c>
      <c r="D27" s="87">
        <f>354000-1000</f>
        <v>353000</v>
      </c>
      <c r="E27" s="81">
        <f>470499+1-95000</f>
        <v>375500</v>
      </c>
      <c r="F27" s="99">
        <v>50000</v>
      </c>
      <c r="G27" s="87">
        <f>50000+10000</f>
        <v>60000</v>
      </c>
      <c r="H27" s="81">
        <v>55000</v>
      </c>
      <c r="I27" s="81">
        <f t="shared" si="39"/>
        <v>404000</v>
      </c>
      <c r="J27" s="81">
        <f t="shared" si="40"/>
        <v>413000</v>
      </c>
      <c r="K27" s="81">
        <f t="shared" si="41"/>
        <v>430500</v>
      </c>
      <c r="L27" s="81"/>
      <c r="M27" s="81"/>
      <c r="N27" s="81"/>
      <c r="O27" s="81">
        <v>1550</v>
      </c>
      <c r="P27" s="81">
        <f>1550-1000-550</f>
        <v>0</v>
      </c>
      <c r="Q27" s="81"/>
      <c r="R27" s="87">
        <f t="shared" si="42"/>
        <v>1550</v>
      </c>
      <c r="S27" s="87">
        <f t="shared" si="43"/>
        <v>0</v>
      </c>
      <c r="T27" s="87">
        <f t="shared" si="44"/>
        <v>0</v>
      </c>
      <c r="U27" s="81">
        <v>0</v>
      </c>
      <c r="V27" s="81">
        <v>0</v>
      </c>
      <c r="W27" s="81">
        <v>0</v>
      </c>
      <c r="X27" s="87">
        <v>6000</v>
      </c>
      <c r="Y27" s="87">
        <v>6000</v>
      </c>
      <c r="Z27" s="81">
        <v>7000</v>
      </c>
      <c r="AA27" s="87">
        <f t="shared" si="45"/>
        <v>6000</v>
      </c>
      <c r="AB27" s="87">
        <f t="shared" si="46"/>
        <v>6000</v>
      </c>
      <c r="AC27" s="87">
        <f t="shared" si="47"/>
        <v>7000</v>
      </c>
      <c r="AD27" s="87">
        <v>6000</v>
      </c>
      <c r="AE27" s="87">
        <f>6000+1000</f>
        <v>7000</v>
      </c>
      <c r="AF27" s="81">
        <v>6000</v>
      </c>
      <c r="AG27" s="87">
        <v>1500</v>
      </c>
      <c r="AH27" s="87">
        <f>1500+2000</f>
        <v>3500</v>
      </c>
      <c r="AI27" s="81">
        <v>1400</v>
      </c>
      <c r="AJ27" s="87">
        <v>15000</v>
      </c>
      <c r="AK27" s="87">
        <v>15000</v>
      </c>
      <c r="AL27" s="81">
        <v>16000</v>
      </c>
      <c r="AM27" s="87">
        <f t="shared" si="48"/>
        <v>22500</v>
      </c>
      <c r="AN27" s="87">
        <f t="shared" si="49"/>
        <v>25500</v>
      </c>
      <c r="AO27" s="87">
        <f t="shared" si="50"/>
        <v>23400</v>
      </c>
      <c r="AP27" s="81"/>
      <c r="AQ27" s="81"/>
      <c r="AR27" s="81"/>
      <c r="AS27" s="87"/>
      <c r="AT27" s="81"/>
      <c r="AU27" s="81"/>
      <c r="AV27" s="81"/>
      <c r="AW27" s="81"/>
      <c r="AX27" s="81"/>
      <c r="AY27" s="95"/>
      <c r="AZ27" s="81"/>
      <c r="BA27" s="81"/>
      <c r="BB27" s="87">
        <f>63000+6250+750</f>
        <v>70000</v>
      </c>
      <c r="BC27" s="87">
        <f>70000-13000</f>
        <v>57000</v>
      </c>
      <c r="BD27" s="81">
        <f>67250</f>
        <v>67250</v>
      </c>
      <c r="BE27" s="87">
        <v>115000</v>
      </c>
      <c r="BF27" s="87">
        <v>115000</v>
      </c>
      <c r="BG27" s="81">
        <v>115000</v>
      </c>
      <c r="BH27" s="81">
        <v>36000</v>
      </c>
      <c r="BI27" s="81">
        <v>36000</v>
      </c>
      <c r="BJ27" s="81">
        <v>36000</v>
      </c>
      <c r="BK27" s="81"/>
      <c r="BL27" s="81"/>
      <c r="BM27" s="81"/>
      <c r="BN27" s="81">
        <v>12000</v>
      </c>
      <c r="BO27" s="81">
        <v>12000</v>
      </c>
      <c r="BP27" s="81">
        <v>12000</v>
      </c>
      <c r="BQ27" s="87">
        <v>30600</v>
      </c>
      <c r="BR27" s="87">
        <v>30600</v>
      </c>
      <c r="BS27" s="81">
        <v>29000</v>
      </c>
      <c r="BT27" s="81"/>
      <c r="BU27" s="81"/>
      <c r="BV27" s="81"/>
      <c r="BW27" s="87">
        <f t="shared" si="51"/>
        <v>263600</v>
      </c>
      <c r="BX27" s="87">
        <f t="shared" si="52"/>
        <v>250600</v>
      </c>
      <c r="BY27" s="87">
        <f t="shared" si="53"/>
        <v>259250</v>
      </c>
      <c r="BZ27" s="81">
        <v>8500</v>
      </c>
      <c r="CA27" s="81">
        <f>3500+5000</f>
        <v>8500</v>
      </c>
      <c r="CB27" s="81"/>
      <c r="CC27" s="81"/>
      <c r="CD27" s="81"/>
      <c r="CE27" s="81"/>
      <c r="CF27" s="81">
        <v>15565</v>
      </c>
      <c r="CG27" s="81">
        <f>15565+5000+15000+4000</f>
        <v>39565</v>
      </c>
      <c r="CH27" s="81">
        <v>13300</v>
      </c>
      <c r="CI27" s="81">
        <v>300</v>
      </c>
      <c r="CJ27" s="81">
        <v>300</v>
      </c>
      <c r="CK27" s="81"/>
      <c r="CL27" s="87">
        <v>55000</v>
      </c>
      <c r="CM27" s="87">
        <f>55000+70000-7200</f>
        <v>117800</v>
      </c>
      <c r="CN27" s="81">
        <v>66000</v>
      </c>
      <c r="CO27" s="87">
        <v>9000</v>
      </c>
      <c r="CP27" s="87">
        <f>9000+1000+7000</f>
        <v>17000</v>
      </c>
      <c r="CQ27" s="81">
        <v>9600</v>
      </c>
      <c r="CR27" s="81">
        <f t="shared" si="54"/>
        <v>88365</v>
      </c>
      <c r="CS27" s="81">
        <f t="shared" si="55"/>
        <v>183165</v>
      </c>
      <c r="CT27" s="81">
        <f t="shared" si="56"/>
        <v>88900</v>
      </c>
      <c r="CU27" s="87">
        <v>10000</v>
      </c>
      <c r="CV27" s="87">
        <v>10000</v>
      </c>
      <c r="CW27" s="81">
        <v>9000</v>
      </c>
      <c r="CX27" s="81"/>
      <c r="CY27" s="81"/>
      <c r="CZ27" s="81"/>
      <c r="DA27" s="81">
        <v>4000</v>
      </c>
      <c r="DB27" s="81">
        <v>4000</v>
      </c>
      <c r="DC27" s="81"/>
      <c r="DD27" s="87">
        <v>6295</v>
      </c>
      <c r="DE27" s="87">
        <v>6295</v>
      </c>
      <c r="DF27" s="81">
        <v>6300</v>
      </c>
      <c r="DG27" s="81">
        <v>35000</v>
      </c>
      <c r="DH27" s="81">
        <v>35000</v>
      </c>
      <c r="DI27" s="81">
        <v>32200</v>
      </c>
      <c r="DJ27" s="81">
        <f t="shared" si="57"/>
        <v>17250</v>
      </c>
      <c r="DK27" s="81">
        <f t="shared" si="58"/>
        <v>15050</v>
      </c>
      <c r="DL27" s="81">
        <f t="shared" si="59"/>
        <v>16250</v>
      </c>
      <c r="DM27" s="99">
        <f>21050-10000</f>
        <v>11050</v>
      </c>
      <c r="DN27" s="87">
        <v>11050</v>
      </c>
      <c r="DO27" s="81">
        <v>11050</v>
      </c>
      <c r="DP27" s="81">
        <v>6200</v>
      </c>
      <c r="DQ27" s="81">
        <f>6200-1000-1000-200</f>
        <v>4000</v>
      </c>
      <c r="DR27" s="81">
        <v>5200</v>
      </c>
      <c r="DS27" s="81">
        <f t="shared" si="60"/>
        <v>72545</v>
      </c>
      <c r="DT27" s="81">
        <f t="shared" si="61"/>
        <v>70345</v>
      </c>
      <c r="DU27" s="81">
        <f t="shared" si="62"/>
        <v>63750</v>
      </c>
      <c r="DV27" s="81"/>
      <c r="DW27" s="81"/>
      <c r="DX27" s="81"/>
      <c r="DY27" s="81"/>
      <c r="DZ27" s="81"/>
      <c r="EA27" s="81"/>
      <c r="EB27" s="81">
        <f t="shared" si="63"/>
        <v>0</v>
      </c>
      <c r="EC27" s="81">
        <f t="shared" si="64"/>
        <v>0</v>
      </c>
      <c r="ED27" s="81">
        <f t="shared" si="65"/>
        <v>0</v>
      </c>
      <c r="EE27" s="87">
        <f t="shared" si="66"/>
        <v>858560</v>
      </c>
      <c r="EF27" s="87">
        <f t="shared" si="67"/>
        <v>948610</v>
      </c>
      <c r="EG27" s="87">
        <f t="shared" si="68"/>
        <v>872800</v>
      </c>
      <c r="EH27" s="96" t="s">
        <v>100</v>
      </c>
    </row>
    <row r="28" spans="1:148" ht="12.75" customHeight="1">
      <c r="A28" s="33" t="s">
        <v>101</v>
      </c>
      <c r="B28" s="34" t="s">
        <v>102</v>
      </c>
      <c r="C28" s="87">
        <f>502000-12000-7000-5000</f>
        <v>478000</v>
      </c>
      <c r="D28" s="87">
        <v>478000</v>
      </c>
      <c r="E28" s="81">
        <f>483000-33000</f>
        <v>450000</v>
      </c>
      <c r="F28" s="99"/>
      <c r="G28" s="87"/>
      <c r="H28" s="81"/>
      <c r="I28" s="81">
        <f t="shared" si="39"/>
        <v>478000</v>
      </c>
      <c r="J28" s="81">
        <f t="shared" si="40"/>
        <v>478000</v>
      </c>
      <c r="K28" s="81">
        <f t="shared" si="41"/>
        <v>450000</v>
      </c>
      <c r="L28" s="81"/>
      <c r="M28" s="81"/>
      <c r="N28" s="81"/>
      <c r="O28" s="81">
        <v>2300</v>
      </c>
      <c r="P28" s="81">
        <f>2300+1000</f>
        <v>3300</v>
      </c>
      <c r="Q28" s="81"/>
      <c r="R28" s="87">
        <f t="shared" si="42"/>
        <v>2300</v>
      </c>
      <c r="S28" s="87">
        <f t="shared" si="43"/>
        <v>3300</v>
      </c>
      <c r="T28" s="87">
        <f t="shared" si="44"/>
        <v>0</v>
      </c>
      <c r="U28" s="81">
        <v>0</v>
      </c>
      <c r="V28" s="81">
        <v>0</v>
      </c>
      <c r="W28" s="81">
        <v>0</v>
      </c>
      <c r="X28" s="87">
        <v>7163</v>
      </c>
      <c r="Y28" s="87">
        <f>7163-30</f>
        <v>7133</v>
      </c>
      <c r="Z28" s="81">
        <v>7500</v>
      </c>
      <c r="AA28" s="87">
        <f t="shared" si="45"/>
        <v>7163</v>
      </c>
      <c r="AB28" s="87">
        <f t="shared" si="46"/>
        <v>7133</v>
      </c>
      <c r="AC28" s="87">
        <f t="shared" si="47"/>
        <v>7500</v>
      </c>
      <c r="AD28" s="87">
        <v>13500</v>
      </c>
      <c r="AE28" s="87">
        <f>13500-1000</f>
        <v>12500</v>
      </c>
      <c r="AF28" s="81">
        <v>11500</v>
      </c>
      <c r="AG28" s="87">
        <v>7000</v>
      </c>
      <c r="AH28" s="87">
        <f>7000-2000</f>
        <v>5000</v>
      </c>
      <c r="AI28" s="81">
        <v>9000</v>
      </c>
      <c r="AJ28" s="95"/>
      <c r="AK28" s="95"/>
      <c r="AL28" s="81"/>
      <c r="AM28" s="87">
        <f t="shared" si="48"/>
        <v>20500</v>
      </c>
      <c r="AN28" s="87">
        <f t="shared" si="49"/>
        <v>17500</v>
      </c>
      <c r="AO28" s="87">
        <f t="shared" si="50"/>
        <v>20500</v>
      </c>
      <c r="AP28" s="81"/>
      <c r="AQ28" s="81"/>
      <c r="AR28" s="81"/>
      <c r="AS28" s="87">
        <f>385000*2+30000</f>
        <v>800000</v>
      </c>
      <c r="AT28" s="87">
        <f>800000-25000-12000</f>
        <v>763000</v>
      </c>
      <c r="AU28" s="81">
        <v>800000</v>
      </c>
      <c r="AV28" s="81"/>
      <c r="AW28" s="81"/>
      <c r="AX28" s="81"/>
      <c r="AY28" s="95"/>
      <c r="AZ28" s="81"/>
      <c r="BA28" s="81"/>
      <c r="BB28" s="87"/>
      <c r="BC28" s="87"/>
      <c r="BD28" s="81"/>
      <c r="BE28" s="87">
        <v>15000</v>
      </c>
      <c r="BF28" s="87">
        <f>15000+1050</f>
        <v>16050</v>
      </c>
      <c r="BG28" s="81">
        <v>20000</v>
      </c>
      <c r="BH28" s="81"/>
      <c r="BI28" s="81"/>
      <c r="BJ28" s="81"/>
      <c r="BK28" s="81"/>
      <c r="BL28" s="81"/>
      <c r="BM28" s="81"/>
      <c r="BN28" s="81">
        <v>0</v>
      </c>
      <c r="BO28" s="81">
        <v>0</v>
      </c>
      <c r="BP28" s="81"/>
      <c r="BQ28" s="87">
        <v>206500</v>
      </c>
      <c r="BR28" s="87">
        <v>206500</v>
      </c>
      <c r="BS28" s="81">
        <v>206600</v>
      </c>
      <c r="BT28" s="81"/>
      <c r="BU28" s="81"/>
      <c r="BV28" s="81"/>
      <c r="BW28" s="87">
        <f t="shared" si="51"/>
        <v>1021500</v>
      </c>
      <c r="BX28" s="87">
        <f t="shared" si="52"/>
        <v>985550</v>
      </c>
      <c r="BY28" s="87">
        <f t="shared" si="53"/>
        <v>1026600</v>
      </c>
      <c r="BZ28" s="81"/>
      <c r="CA28" s="81"/>
      <c r="CB28" s="81"/>
      <c r="CC28" s="81"/>
      <c r="CD28" s="81"/>
      <c r="CE28" s="81"/>
      <c r="CF28" s="81">
        <v>75600</v>
      </c>
      <c r="CG28" s="81">
        <f>75600-15000</f>
        <v>60600</v>
      </c>
      <c r="CH28" s="81">
        <v>68600</v>
      </c>
      <c r="CI28" s="81">
        <v>7000</v>
      </c>
      <c r="CJ28" s="81">
        <v>7000</v>
      </c>
      <c r="CK28" s="81">
        <v>7000</v>
      </c>
      <c r="CL28" s="87">
        <v>400</v>
      </c>
      <c r="CM28" s="87">
        <v>400</v>
      </c>
      <c r="CN28" s="81">
        <v>400</v>
      </c>
      <c r="CO28" s="87">
        <f>28000+10000</f>
        <v>38000</v>
      </c>
      <c r="CP28" s="87">
        <v>38000</v>
      </c>
      <c r="CQ28" s="81">
        <v>32000</v>
      </c>
      <c r="CR28" s="81">
        <f t="shared" si="54"/>
        <v>121000</v>
      </c>
      <c r="CS28" s="81">
        <f t="shared" si="55"/>
        <v>106000</v>
      </c>
      <c r="CT28" s="81">
        <f t="shared" si="56"/>
        <v>108000</v>
      </c>
      <c r="CU28" s="87">
        <v>8000</v>
      </c>
      <c r="CV28" s="87">
        <v>8000</v>
      </c>
      <c r="CW28" s="81">
        <v>8000</v>
      </c>
      <c r="CX28" s="81"/>
      <c r="CY28" s="81"/>
      <c r="CZ28" s="81"/>
      <c r="DA28" s="81"/>
      <c r="DB28" s="81"/>
      <c r="DC28" s="81"/>
      <c r="DD28" s="87">
        <v>14000</v>
      </c>
      <c r="DE28" s="87">
        <v>14000</v>
      </c>
      <c r="DF28" s="81">
        <v>11700</v>
      </c>
      <c r="DG28" s="81">
        <f>98600-14000</f>
        <v>84600</v>
      </c>
      <c r="DH28" s="81">
        <f>84600-25000</f>
        <v>59600</v>
      </c>
      <c r="DI28" s="81">
        <v>85600</v>
      </c>
      <c r="DJ28" s="81">
        <f t="shared" si="57"/>
        <v>16000</v>
      </c>
      <c r="DK28" s="81">
        <f t="shared" si="58"/>
        <v>13650</v>
      </c>
      <c r="DL28" s="81">
        <f t="shared" si="59"/>
        <v>14000</v>
      </c>
      <c r="DM28" s="99">
        <f>15000-5000</f>
        <v>10000</v>
      </c>
      <c r="DN28" s="87">
        <v>10000</v>
      </c>
      <c r="DO28" s="81">
        <v>10000</v>
      </c>
      <c r="DP28" s="81">
        <v>6000</v>
      </c>
      <c r="DQ28" s="81">
        <f>6000-1000-350-1000</f>
        <v>3650</v>
      </c>
      <c r="DR28" s="81">
        <v>4000</v>
      </c>
      <c r="DS28" s="81">
        <f t="shared" si="60"/>
        <v>122600</v>
      </c>
      <c r="DT28" s="81">
        <f t="shared" si="61"/>
        <v>95250</v>
      </c>
      <c r="DU28" s="81">
        <f t="shared" si="62"/>
        <v>119300</v>
      </c>
      <c r="DV28" s="81"/>
      <c r="DW28" s="81"/>
      <c r="DX28" s="81"/>
      <c r="DY28" s="81"/>
      <c r="DZ28" s="81"/>
      <c r="EA28" s="81"/>
      <c r="EB28" s="81">
        <f t="shared" si="63"/>
        <v>0</v>
      </c>
      <c r="EC28" s="81">
        <f t="shared" si="64"/>
        <v>0</v>
      </c>
      <c r="ED28" s="81">
        <f t="shared" si="65"/>
        <v>0</v>
      </c>
      <c r="EE28" s="87">
        <f t="shared" si="66"/>
        <v>1773063</v>
      </c>
      <c r="EF28" s="87">
        <f t="shared" si="67"/>
        <v>1692733</v>
      </c>
      <c r="EG28" s="87">
        <f t="shared" si="68"/>
        <v>1731900</v>
      </c>
      <c r="EH28" s="96" t="s">
        <v>102</v>
      </c>
    </row>
    <row r="29" spans="1:148">
      <c r="A29" s="33" t="s">
        <v>103</v>
      </c>
      <c r="B29" s="34" t="s">
        <v>104</v>
      </c>
      <c r="C29" s="87">
        <v>757800</v>
      </c>
      <c r="D29" s="87">
        <f>757800-7500</f>
        <v>750300</v>
      </c>
      <c r="E29" s="81">
        <f>872684-59000</f>
        <v>813684</v>
      </c>
      <c r="F29" s="99">
        <v>70000</v>
      </c>
      <c r="G29" s="87">
        <f>70000-200</f>
        <v>69800</v>
      </c>
      <c r="H29" s="81">
        <v>75000</v>
      </c>
      <c r="I29" s="81">
        <f t="shared" si="39"/>
        <v>827800</v>
      </c>
      <c r="J29" s="81">
        <f t="shared" si="40"/>
        <v>820100</v>
      </c>
      <c r="K29" s="81">
        <f t="shared" si="41"/>
        <v>888684</v>
      </c>
      <c r="L29" s="81"/>
      <c r="M29" s="81"/>
      <c r="N29" s="81"/>
      <c r="O29" s="81">
        <v>1900</v>
      </c>
      <c r="P29" s="81">
        <f>1900+300-2200</f>
        <v>0</v>
      </c>
      <c r="Q29" s="81"/>
      <c r="R29" s="87">
        <f t="shared" si="42"/>
        <v>1900</v>
      </c>
      <c r="S29" s="87">
        <f t="shared" si="43"/>
        <v>0</v>
      </c>
      <c r="T29" s="87">
        <f t="shared" si="44"/>
        <v>0</v>
      </c>
      <c r="U29" s="81">
        <v>0</v>
      </c>
      <c r="V29" s="81">
        <v>0</v>
      </c>
      <c r="W29" s="81">
        <v>0</v>
      </c>
      <c r="X29" s="87">
        <v>6500</v>
      </c>
      <c r="Y29" s="87">
        <v>6500</v>
      </c>
      <c r="Z29" s="81">
        <f>5500+1050</f>
        <v>6550</v>
      </c>
      <c r="AA29" s="87">
        <f t="shared" si="45"/>
        <v>6500</v>
      </c>
      <c r="AB29" s="87">
        <f t="shared" si="46"/>
        <v>6500</v>
      </c>
      <c r="AC29" s="87">
        <f t="shared" si="47"/>
        <v>6550</v>
      </c>
      <c r="AD29" s="87">
        <v>7250</v>
      </c>
      <c r="AE29" s="87">
        <v>7250</v>
      </c>
      <c r="AF29" s="81">
        <v>7250</v>
      </c>
      <c r="AG29" s="87">
        <f>13000+7000</f>
        <v>20000</v>
      </c>
      <c r="AH29" s="87">
        <f>20000-20</f>
        <v>19980</v>
      </c>
      <c r="AI29" s="81">
        <v>19000</v>
      </c>
      <c r="AJ29" s="95"/>
      <c r="AK29" s="95"/>
      <c r="AL29" s="81"/>
      <c r="AM29" s="87">
        <f t="shared" si="48"/>
        <v>27250</v>
      </c>
      <c r="AN29" s="87">
        <f t="shared" si="49"/>
        <v>27230</v>
      </c>
      <c r="AO29" s="87">
        <f t="shared" si="50"/>
        <v>26250</v>
      </c>
      <c r="AP29" s="81"/>
      <c r="AQ29" s="81"/>
      <c r="AR29" s="81"/>
      <c r="AS29" s="95"/>
      <c r="AT29" s="95"/>
      <c r="AU29" s="81"/>
      <c r="AV29" s="81"/>
      <c r="AW29" s="81"/>
      <c r="AX29" s="81"/>
      <c r="AY29" s="87">
        <f>120000+15900</f>
        <v>135900</v>
      </c>
      <c r="AZ29" s="87">
        <f>120000+15900</f>
        <v>135900</v>
      </c>
      <c r="BA29" s="81">
        <f>30000+120000</f>
        <v>150000</v>
      </c>
      <c r="BB29" s="87">
        <f>40000+1500+30000+30000</f>
        <v>101500</v>
      </c>
      <c r="BC29" s="87">
        <f>101500-40000-2700</f>
        <v>58800</v>
      </c>
      <c r="BD29" s="81">
        <v>79850</v>
      </c>
      <c r="BE29" s="87">
        <f>560000+40000</f>
        <v>600000</v>
      </c>
      <c r="BF29" s="87">
        <f>600000+13000+45000-1050</f>
        <v>656950</v>
      </c>
      <c r="BG29" s="81">
        <v>660000</v>
      </c>
      <c r="BH29" s="81">
        <v>3569706</v>
      </c>
      <c r="BI29" s="81">
        <v>3486631</v>
      </c>
      <c r="BJ29" s="81">
        <f>1962687+127116+225144+150000+770929+15006+31266</f>
        <v>3282148</v>
      </c>
      <c r="BK29" s="81"/>
      <c r="BL29" s="81"/>
      <c r="BM29" s="81"/>
      <c r="BN29" s="81">
        <v>3000</v>
      </c>
      <c r="BO29" s="81">
        <v>3000</v>
      </c>
      <c r="BP29" s="81">
        <v>3000</v>
      </c>
      <c r="BQ29" s="87">
        <v>274500</v>
      </c>
      <c r="BR29" s="87">
        <v>274500</v>
      </c>
      <c r="BS29" s="81">
        <v>310500</v>
      </c>
      <c r="BT29" s="81">
        <v>17616</v>
      </c>
      <c r="BU29" s="81">
        <v>17616</v>
      </c>
      <c r="BV29" s="81"/>
      <c r="BW29" s="87">
        <f t="shared" si="51"/>
        <v>4702222</v>
      </c>
      <c r="BX29" s="87">
        <f t="shared" si="52"/>
        <v>4633397</v>
      </c>
      <c r="BY29" s="87">
        <f t="shared" si="53"/>
        <v>4485498</v>
      </c>
      <c r="BZ29" s="81">
        <f>97000+51000</f>
        <v>148000</v>
      </c>
      <c r="CA29" s="81">
        <f>148000-1000</f>
        <v>147000</v>
      </c>
      <c r="CB29" s="81">
        <f>80000+118500</f>
        <v>198500</v>
      </c>
      <c r="CC29" s="81"/>
      <c r="CD29" s="81"/>
      <c r="CE29" s="81"/>
      <c r="CF29" s="81">
        <v>18440</v>
      </c>
      <c r="CG29" s="81">
        <f>18440+5000</f>
        <v>23440</v>
      </c>
      <c r="CH29" s="81">
        <v>25000</v>
      </c>
      <c r="CI29" s="81">
        <v>1700</v>
      </c>
      <c r="CJ29" s="81">
        <v>1700</v>
      </c>
      <c r="CK29" s="81">
        <f>2000+2100</f>
        <v>4100</v>
      </c>
      <c r="CL29" s="87">
        <v>143300</v>
      </c>
      <c r="CM29" s="87">
        <f>143300+7200</f>
        <v>150500</v>
      </c>
      <c r="CN29" s="81">
        <f>158600+35000-35000+10000</f>
        <v>168600</v>
      </c>
      <c r="CO29" s="87">
        <f>1000+10000+150+416200+280+750+200+300+250+1000+2400+250+12000+10000+26500-10000</f>
        <v>471280</v>
      </c>
      <c r="CP29" s="87">
        <f>471280-9000+1550-7000</f>
        <v>456830</v>
      </c>
      <c r="CQ29" s="81">
        <f>517000+4300</f>
        <v>521300</v>
      </c>
      <c r="CR29" s="81">
        <f t="shared" si="54"/>
        <v>782720</v>
      </c>
      <c r="CS29" s="81">
        <f t="shared" si="55"/>
        <v>779470</v>
      </c>
      <c r="CT29" s="81">
        <f t="shared" si="56"/>
        <v>917500</v>
      </c>
      <c r="CU29" s="87">
        <f>205200-60000</f>
        <v>145200</v>
      </c>
      <c r="CV29" s="87">
        <f>145200+21000+13980</f>
        <v>180180</v>
      </c>
      <c r="CW29" s="81">
        <v>205000</v>
      </c>
      <c r="CX29" s="81">
        <f>337900+150000</f>
        <v>487900</v>
      </c>
      <c r="CY29" s="81">
        <v>487900</v>
      </c>
      <c r="CZ29" s="81">
        <v>488100</v>
      </c>
      <c r="DA29" s="81"/>
      <c r="DB29" s="81"/>
      <c r="DC29" s="81"/>
      <c r="DD29" s="87">
        <v>83695</v>
      </c>
      <c r="DE29" s="87">
        <v>83695</v>
      </c>
      <c r="DF29" s="81">
        <v>90000</v>
      </c>
      <c r="DG29" s="81">
        <v>93700</v>
      </c>
      <c r="DH29" s="81">
        <v>93700</v>
      </c>
      <c r="DI29" s="81">
        <v>93700</v>
      </c>
      <c r="DJ29" s="81">
        <f t="shared" si="57"/>
        <v>659010</v>
      </c>
      <c r="DK29" s="81">
        <f t="shared" si="58"/>
        <v>552560</v>
      </c>
      <c r="DL29" s="81">
        <f t="shared" si="59"/>
        <v>1004570</v>
      </c>
      <c r="DM29" s="99">
        <f>1242910-5000-15850-35980-150000-15980+10000-421500+38000</f>
        <v>646600</v>
      </c>
      <c r="DN29" s="87">
        <f>646600-45000-70000</f>
        <v>531600</v>
      </c>
      <c r="DO29" s="81">
        <v>981410</v>
      </c>
      <c r="DP29" s="81">
        <v>12410</v>
      </c>
      <c r="DQ29" s="81">
        <f>12410+4000+2000+350+1000+1000+200</f>
        <v>20960</v>
      </c>
      <c r="DR29" s="81">
        <v>23160</v>
      </c>
      <c r="DS29" s="81">
        <f t="shared" si="60"/>
        <v>1469505</v>
      </c>
      <c r="DT29" s="81">
        <f t="shared" si="61"/>
        <v>1398035</v>
      </c>
      <c r="DU29" s="81">
        <f t="shared" si="62"/>
        <v>1881370</v>
      </c>
      <c r="DV29" s="81"/>
      <c r="DW29" s="81"/>
      <c r="DX29" s="81"/>
      <c r="DY29" s="81"/>
      <c r="DZ29" s="81"/>
      <c r="EA29" s="81"/>
      <c r="EB29" s="81">
        <f t="shared" si="63"/>
        <v>0</v>
      </c>
      <c r="EC29" s="81">
        <f t="shared" si="64"/>
        <v>0</v>
      </c>
      <c r="ED29" s="81">
        <f t="shared" si="65"/>
        <v>0</v>
      </c>
      <c r="EE29" s="87">
        <f t="shared" si="66"/>
        <v>7817897</v>
      </c>
      <c r="EF29" s="87">
        <f t="shared" si="67"/>
        <v>7664732</v>
      </c>
      <c r="EG29" s="87">
        <f t="shared" si="68"/>
        <v>8205852</v>
      </c>
      <c r="EH29" s="96" t="s">
        <v>104</v>
      </c>
    </row>
    <row r="30" spans="1:148">
      <c r="A30" s="33" t="s">
        <v>105</v>
      </c>
      <c r="B30" s="34" t="s">
        <v>106</v>
      </c>
      <c r="C30" s="87">
        <f>85000-10000</f>
        <v>75000</v>
      </c>
      <c r="D30" s="87">
        <v>75000</v>
      </c>
      <c r="E30" s="81">
        <v>101800</v>
      </c>
      <c r="F30" s="99"/>
      <c r="G30" s="87"/>
      <c r="H30" s="81"/>
      <c r="I30" s="81">
        <f t="shared" si="39"/>
        <v>75000</v>
      </c>
      <c r="J30" s="81">
        <f t="shared" si="40"/>
        <v>75000</v>
      </c>
      <c r="K30" s="81">
        <f t="shared" si="41"/>
        <v>101800</v>
      </c>
      <c r="L30" s="81"/>
      <c r="M30" s="81"/>
      <c r="N30" s="81"/>
      <c r="O30" s="81">
        <v>300</v>
      </c>
      <c r="P30" s="81">
        <f>300-300</f>
        <v>0</v>
      </c>
      <c r="Q30" s="81"/>
      <c r="R30" s="87">
        <f t="shared" si="42"/>
        <v>300</v>
      </c>
      <c r="S30" s="87">
        <f t="shared" si="43"/>
        <v>0</v>
      </c>
      <c r="T30" s="87">
        <f t="shared" si="44"/>
        <v>0</v>
      </c>
      <c r="U30" s="81">
        <v>0</v>
      </c>
      <c r="V30" s="81">
        <v>0</v>
      </c>
      <c r="W30" s="81">
        <v>0</v>
      </c>
      <c r="X30" s="87">
        <v>7500</v>
      </c>
      <c r="Y30" s="87">
        <f>7500-4000</f>
        <v>3500</v>
      </c>
      <c r="Z30" s="81">
        <v>2000</v>
      </c>
      <c r="AA30" s="87">
        <f t="shared" si="45"/>
        <v>7500</v>
      </c>
      <c r="AB30" s="87">
        <f t="shared" si="46"/>
        <v>3500</v>
      </c>
      <c r="AC30" s="87">
        <f t="shared" si="47"/>
        <v>2000</v>
      </c>
      <c r="AD30" s="87"/>
      <c r="AE30" s="87"/>
      <c r="AF30" s="81"/>
      <c r="AG30" s="87">
        <v>500</v>
      </c>
      <c r="AH30" s="87">
        <v>500</v>
      </c>
      <c r="AI30" s="81"/>
      <c r="AJ30" s="95"/>
      <c r="AK30" s="95"/>
      <c r="AL30" s="81"/>
      <c r="AM30" s="87">
        <f t="shared" si="48"/>
        <v>500</v>
      </c>
      <c r="AN30" s="87">
        <f t="shared" si="49"/>
        <v>500</v>
      </c>
      <c r="AO30" s="87">
        <f t="shared" si="50"/>
        <v>0</v>
      </c>
      <c r="AP30" s="81"/>
      <c r="AQ30" s="81"/>
      <c r="AR30" s="81"/>
      <c r="AS30" s="87">
        <v>352000</v>
      </c>
      <c r="AT30" s="87">
        <f>352000+25000+12000</f>
        <v>389000</v>
      </c>
      <c r="AU30" s="81">
        <f>500000+80000-10000-40000-30000</f>
        <v>500000</v>
      </c>
      <c r="AV30" s="81">
        <v>500000</v>
      </c>
      <c r="AW30" s="81">
        <v>500000</v>
      </c>
      <c r="AX30" s="81">
        <v>500000</v>
      </c>
      <c r="AY30" s="87">
        <v>59950</v>
      </c>
      <c r="AZ30" s="87">
        <v>59950</v>
      </c>
      <c r="BA30" s="81">
        <v>95900</v>
      </c>
      <c r="BB30" s="87">
        <v>32500</v>
      </c>
      <c r="BC30" s="87">
        <f>32500+40000</f>
        <v>72500</v>
      </c>
      <c r="BD30" s="81">
        <v>36000</v>
      </c>
      <c r="BE30" s="87">
        <v>50000</v>
      </c>
      <c r="BF30" s="87">
        <f>50000+2700</f>
        <v>52700</v>
      </c>
      <c r="BG30" s="81">
        <v>60000</v>
      </c>
      <c r="BH30" s="81"/>
      <c r="BI30" s="81"/>
      <c r="BJ30" s="81"/>
      <c r="BK30" s="81"/>
      <c r="BL30" s="81"/>
      <c r="BM30" s="81"/>
      <c r="BN30" s="81"/>
      <c r="BO30" s="81"/>
      <c r="BP30" s="81"/>
      <c r="BQ30" s="87">
        <v>85000</v>
      </c>
      <c r="BR30" s="87">
        <v>85000</v>
      </c>
      <c r="BS30" s="81">
        <v>85000</v>
      </c>
      <c r="BT30" s="81"/>
      <c r="BU30" s="81"/>
      <c r="BV30" s="81"/>
      <c r="BW30" s="87">
        <f t="shared" si="51"/>
        <v>1079450</v>
      </c>
      <c r="BX30" s="87">
        <f t="shared" si="52"/>
        <v>1159150</v>
      </c>
      <c r="BY30" s="87">
        <f t="shared" si="53"/>
        <v>1276900</v>
      </c>
      <c r="BZ30" s="81"/>
      <c r="CA30" s="81"/>
      <c r="CB30" s="81"/>
      <c r="CC30" s="81"/>
      <c r="CD30" s="81"/>
      <c r="CE30" s="81"/>
      <c r="CF30" s="81">
        <v>10000</v>
      </c>
      <c r="CG30" s="81">
        <f>10000-5000-4000</f>
        <v>1000</v>
      </c>
      <c r="CH30" s="81">
        <v>10000</v>
      </c>
      <c r="CI30" s="81">
        <v>11000</v>
      </c>
      <c r="CJ30" s="81">
        <v>11000</v>
      </c>
      <c r="CK30" s="81">
        <v>11000</v>
      </c>
      <c r="CL30" s="87"/>
      <c r="CM30" s="87"/>
      <c r="CN30" s="81"/>
      <c r="CO30" s="87">
        <v>15000</v>
      </c>
      <c r="CP30" s="87">
        <f>15000-1550</f>
        <v>13450</v>
      </c>
      <c r="CQ30" s="81">
        <v>15000</v>
      </c>
      <c r="CR30" s="81">
        <f t="shared" si="54"/>
        <v>36000</v>
      </c>
      <c r="CS30" s="81">
        <f t="shared" si="55"/>
        <v>25450</v>
      </c>
      <c r="CT30" s="81">
        <f t="shared" si="56"/>
        <v>36000</v>
      </c>
      <c r="CU30" s="87">
        <f>112400+60000</f>
        <v>172400</v>
      </c>
      <c r="CV30" s="87">
        <v>172400</v>
      </c>
      <c r="CW30" s="81">
        <v>236000</v>
      </c>
      <c r="CX30" s="81">
        <v>350000</v>
      </c>
      <c r="CY30" s="81">
        <v>350000</v>
      </c>
      <c r="CZ30" s="81">
        <v>350000</v>
      </c>
      <c r="DA30" s="81"/>
      <c r="DB30" s="81"/>
      <c r="DC30" s="81"/>
      <c r="DD30" s="87"/>
      <c r="DE30" s="87"/>
      <c r="DF30" s="81"/>
      <c r="DG30" s="81">
        <v>55000</v>
      </c>
      <c r="DH30" s="81">
        <f>55000+25000</f>
        <v>80000</v>
      </c>
      <c r="DI30" s="81">
        <v>55000</v>
      </c>
      <c r="DJ30" s="81">
        <f t="shared" si="57"/>
        <v>241250</v>
      </c>
      <c r="DK30" s="81">
        <f t="shared" si="58"/>
        <v>239250</v>
      </c>
      <c r="DL30" s="81">
        <f t="shared" si="59"/>
        <v>336900</v>
      </c>
      <c r="DM30" s="99">
        <f>389145-59895-20000-30000-10000-30000</f>
        <v>239250</v>
      </c>
      <c r="DN30" s="87">
        <v>239250</v>
      </c>
      <c r="DO30" s="81">
        <f>412900-20000-60000</f>
        <v>332900</v>
      </c>
      <c r="DP30" s="81">
        <v>2000</v>
      </c>
      <c r="DQ30" s="81">
        <f>2000-2000</f>
        <v>0</v>
      </c>
      <c r="DR30" s="81">
        <v>4000</v>
      </c>
      <c r="DS30" s="81">
        <f t="shared" si="60"/>
        <v>818650</v>
      </c>
      <c r="DT30" s="81">
        <f t="shared" si="61"/>
        <v>841650</v>
      </c>
      <c r="DU30" s="81">
        <f t="shared" si="62"/>
        <v>977900</v>
      </c>
      <c r="DV30" s="81"/>
      <c r="DW30" s="81"/>
      <c r="DX30" s="81"/>
      <c r="DY30" s="81"/>
      <c r="DZ30" s="81"/>
      <c r="EA30" s="81"/>
      <c r="EB30" s="81">
        <f t="shared" si="63"/>
        <v>0</v>
      </c>
      <c r="EC30" s="81">
        <f t="shared" si="64"/>
        <v>0</v>
      </c>
      <c r="ED30" s="81">
        <f t="shared" si="65"/>
        <v>0</v>
      </c>
      <c r="EE30" s="87">
        <f t="shared" si="66"/>
        <v>2017400</v>
      </c>
      <c r="EF30" s="87">
        <f t="shared" si="67"/>
        <v>2105250</v>
      </c>
      <c r="EG30" s="87">
        <f t="shared" si="68"/>
        <v>2394600</v>
      </c>
      <c r="EH30" s="96" t="s">
        <v>106</v>
      </c>
    </row>
    <row r="31" spans="1:148">
      <c r="A31" s="33" t="s">
        <v>107</v>
      </c>
      <c r="B31" s="34" t="s">
        <v>108</v>
      </c>
      <c r="C31" s="87">
        <v>35000</v>
      </c>
      <c r="D31" s="87">
        <v>35000</v>
      </c>
      <c r="E31" s="81">
        <f>35000-5000</f>
        <v>30000</v>
      </c>
      <c r="F31" s="99">
        <v>10000</v>
      </c>
      <c r="G31" s="87">
        <v>10000</v>
      </c>
      <c r="H31" s="81">
        <v>12000</v>
      </c>
      <c r="I31" s="81">
        <f t="shared" si="39"/>
        <v>45000</v>
      </c>
      <c r="J31" s="81">
        <f t="shared" si="40"/>
        <v>45000</v>
      </c>
      <c r="K31" s="81">
        <f t="shared" si="41"/>
        <v>42000</v>
      </c>
      <c r="L31" s="81"/>
      <c r="M31" s="81"/>
      <c r="N31" s="81"/>
      <c r="O31" s="81">
        <v>100</v>
      </c>
      <c r="P31" s="81">
        <f>100-100</f>
        <v>0</v>
      </c>
      <c r="Q31" s="81"/>
      <c r="R31" s="87">
        <f t="shared" si="42"/>
        <v>100</v>
      </c>
      <c r="S31" s="87">
        <f t="shared" si="43"/>
        <v>0</v>
      </c>
      <c r="T31" s="87">
        <f t="shared" si="44"/>
        <v>0</v>
      </c>
      <c r="U31" s="81">
        <v>0</v>
      </c>
      <c r="V31" s="81">
        <v>0</v>
      </c>
      <c r="W31" s="81">
        <v>0</v>
      </c>
      <c r="X31" s="81"/>
      <c r="Y31" s="87"/>
      <c r="Z31" s="81"/>
      <c r="AA31" s="87">
        <f t="shared" si="45"/>
        <v>0</v>
      </c>
      <c r="AB31" s="87">
        <f t="shared" si="46"/>
        <v>0</v>
      </c>
      <c r="AC31" s="87">
        <f t="shared" si="47"/>
        <v>0</v>
      </c>
      <c r="AD31" s="87">
        <v>300</v>
      </c>
      <c r="AE31" s="87">
        <v>300</v>
      </c>
      <c r="AF31" s="81">
        <v>300</v>
      </c>
      <c r="AG31" s="87"/>
      <c r="AH31" s="87"/>
      <c r="AI31" s="81"/>
      <c r="AJ31" s="95"/>
      <c r="AK31" s="95"/>
      <c r="AL31" s="81"/>
      <c r="AM31" s="87">
        <f t="shared" si="48"/>
        <v>300</v>
      </c>
      <c r="AN31" s="87">
        <f t="shared" si="49"/>
        <v>300</v>
      </c>
      <c r="AO31" s="87">
        <f t="shared" si="50"/>
        <v>300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7">
        <v>500</v>
      </c>
      <c r="BR31" s="87">
        <v>500</v>
      </c>
      <c r="BS31" s="81">
        <v>500</v>
      </c>
      <c r="BT31" s="81"/>
      <c r="BU31" s="81"/>
      <c r="BV31" s="81"/>
      <c r="BW31" s="87">
        <f t="shared" si="51"/>
        <v>500</v>
      </c>
      <c r="BX31" s="87">
        <f t="shared" si="52"/>
        <v>500</v>
      </c>
      <c r="BY31" s="87">
        <f t="shared" si="53"/>
        <v>500</v>
      </c>
      <c r="BZ31" s="81"/>
      <c r="CA31" s="81"/>
      <c r="CB31" s="81"/>
      <c r="CC31" s="81"/>
      <c r="CD31" s="81"/>
      <c r="CE31" s="81"/>
      <c r="CF31" s="81">
        <v>1000</v>
      </c>
      <c r="CG31" s="81">
        <v>1000</v>
      </c>
      <c r="CH31" s="81">
        <v>1000</v>
      </c>
      <c r="CI31" s="81"/>
      <c r="CJ31" s="81"/>
      <c r="CK31" s="81"/>
      <c r="CL31" s="87"/>
      <c r="CM31" s="87"/>
      <c r="CN31" s="81"/>
      <c r="CO31" s="87">
        <v>1500</v>
      </c>
      <c r="CP31" s="87">
        <v>1500</v>
      </c>
      <c r="CQ31" s="81">
        <v>2000</v>
      </c>
      <c r="CR31" s="81">
        <f t="shared" si="54"/>
        <v>2500</v>
      </c>
      <c r="CS31" s="81">
        <f t="shared" si="55"/>
        <v>2500</v>
      </c>
      <c r="CT31" s="81">
        <f t="shared" si="56"/>
        <v>3000</v>
      </c>
      <c r="CU31" s="81"/>
      <c r="CV31" s="81"/>
      <c r="CW31" s="81"/>
      <c r="CX31" s="81"/>
      <c r="CY31" s="81"/>
      <c r="CZ31" s="81"/>
      <c r="DA31" s="81"/>
      <c r="DB31" s="81"/>
      <c r="DC31" s="81"/>
      <c r="DD31" s="87">
        <v>500</v>
      </c>
      <c r="DE31" s="87">
        <v>500</v>
      </c>
      <c r="DF31" s="81">
        <v>800</v>
      </c>
      <c r="DG31" s="81">
        <v>400</v>
      </c>
      <c r="DH31" s="81">
        <v>400</v>
      </c>
      <c r="DI31" s="81">
        <v>1000</v>
      </c>
      <c r="DJ31" s="81">
        <f t="shared" si="57"/>
        <v>1000</v>
      </c>
      <c r="DK31" s="81">
        <f t="shared" si="58"/>
        <v>0</v>
      </c>
      <c r="DL31" s="81">
        <f t="shared" si="59"/>
        <v>1500</v>
      </c>
      <c r="DM31" s="99"/>
      <c r="DN31" s="87"/>
      <c r="DO31" s="81"/>
      <c r="DP31" s="81">
        <v>1000</v>
      </c>
      <c r="DQ31" s="81">
        <f>1000-1000</f>
        <v>0</v>
      </c>
      <c r="DR31" s="81">
        <v>1500</v>
      </c>
      <c r="DS31" s="81">
        <f t="shared" si="60"/>
        <v>1900</v>
      </c>
      <c r="DT31" s="81">
        <f t="shared" si="61"/>
        <v>900</v>
      </c>
      <c r="DU31" s="81">
        <f t="shared" si="62"/>
        <v>3300</v>
      </c>
      <c r="DV31" s="81"/>
      <c r="DW31" s="81"/>
      <c r="DX31" s="81"/>
      <c r="DY31" s="81"/>
      <c r="DZ31" s="81"/>
      <c r="EA31" s="81"/>
      <c r="EB31" s="81">
        <f t="shared" si="63"/>
        <v>0</v>
      </c>
      <c r="EC31" s="81">
        <f t="shared" si="64"/>
        <v>0</v>
      </c>
      <c r="ED31" s="81">
        <f t="shared" si="65"/>
        <v>0</v>
      </c>
      <c r="EE31" s="87">
        <f t="shared" si="66"/>
        <v>50300</v>
      </c>
      <c r="EF31" s="87">
        <f t="shared" si="67"/>
        <v>49200</v>
      </c>
      <c r="EG31" s="87">
        <f t="shared" si="68"/>
        <v>49100</v>
      </c>
      <c r="EH31" s="96" t="s">
        <v>108</v>
      </c>
    </row>
    <row r="32" spans="1:148">
      <c r="A32" s="33" t="s">
        <v>109</v>
      </c>
      <c r="B32" s="34" t="s">
        <v>110</v>
      </c>
      <c r="C32" s="87">
        <v>5000</v>
      </c>
      <c r="D32" s="87">
        <v>5000</v>
      </c>
      <c r="E32" s="81">
        <v>5000</v>
      </c>
      <c r="F32" s="99">
        <v>20000</v>
      </c>
      <c r="G32" s="87">
        <f>20000-10000</f>
        <v>10000</v>
      </c>
      <c r="H32" s="81">
        <v>25000</v>
      </c>
      <c r="I32" s="81">
        <f t="shared" si="39"/>
        <v>25000</v>
      </c>
      <c r="J32" s="81">
        <f t="shared" si="40"/>
        <v>15000</v>
      </c>
      <c r="K32" s="81">
        <f t="shared" si="41"/>
        <v>30000</v>
      </c>
      <c r="L32" s="81"/>
      <c r="M32" s="81"/>
      <c r="N32" s="81"/>
      <c r="O32" s="81"/>
      <c r="P32" s="81"/>
      <c r="Q32" s="81"/>
      <c r="R32" s="87">
        <f t="shared" si="42"/>
        <v>0</v>
      </c>
      <c r="S32" s="87">
        <f t="shared" si="43"/>
        <v>0</v>
      </c>
      <c r="T32" s="87">
        <f t="shared" si="44"/>
        <v>0</v>
      </c>
      <c r="U32" s="81">
        <v>0</v>
      </c>
      <c r="V32" s="81">
        <v>0</v>
      </c>
      <c r="W32" s="81">
        <v>0</v>
      </c>
      <c r="X32" s="81"/>
      <c r="Y32" s="81"/>
      <c r="Z32" s="81"/>
      <c r="AA32" s="87">
        <f t="shared" si="45"/>
        <v>0</v>
      </c>
      <c r="AB32" s="87">
        <f t="shared" si="46"/>
        <v>0</v>
      </c>
      <c r="AC32" s="87">
        <f t="shared" si="47"/>
        <v>0</v>
      </c>
      <c r="AD32" s="87"/>
      <c r="AE32" s="87"/>
      <c r="AF32" s="81"/>
      <c r="AG32" s="87"/>
      <c r="AH32" s="87"/>
      <c r="AI32" s="81"/>
      <c r="AJ32" s="95"/>
      <c r="AK32" s="95"/>
      <c r="AL32" s="81"/>
      <c r="AM32" s="87">
        <f t="shared" si="48"/>
        <v>0</v>
      </c>
      <c r="AN32" s="87">
        <f t="shared" si="49"/>
        <v>0</v>
      </c>
      <c r="AO32" s="87">
        <f t="shared" si="50"/>
        <v>0</v>
      </c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7"/>
      <c r="BR32" s="87"/>
      <c r="BS32" s="81"/>
      <c r="BT32" s="81"/>
      <c r="BU32" s="81"/>
      <c r="BV32" s="81"/>
      <c r="BW32" s="87">
        <f t="shared" si="51"/>
        <v>0</v>
      </c>
      <c r="BX32" s="87">
        <f t="shared" si="52"/>
        <v>0</v>
      </c>
      <c r="BY32" s="87">
        <f t="shared" si="53"/>
        <v>0</v>
      </c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7"/>
      <c r="CM32" s="87"/>
      <c r="CN32" s="81"/>
      <c r="CO32" s="81"/>
      <c r="CP32" s="81"/>
      <c r="CQ32" s="81"/>
      <c r="CR32" s="81">
        <f t="shared" si="54"/>
        <v>0</v>
      </c>
      <c r="CS32" s="81">
        <f t="shared" si="55"/>
        <v>0</v>
      </c>
      <c r="CT32" s="81">
        <f t="shared" si="56"/>
        <v>0</v>
      </c>
      <c r="CU32" s="81"/>
      <c r="CV32" s="81"/>
      <c r="CW32" s="81"/>
      <c r="CX32" s="81"/>
      <c r="CY32" s="81"/>
      <c r="CZ32" s="81"/>
      <c r="DA32" s="81"/>
      <c r="DB32" s="81"/>
      <c r="DC32" s="81"/>
      <c r="DD32" s="87"/>
      <c r="DE32" s="87"/>
      <c r="DF32" s="81"/>
      <c r="DG32" s="81"/>
      <c r="DH32" s="81"/>
      <c r="DI32" s="81"/>
      <c r="DJ32" s="81">
        <f t="shared" si="57"/>
        <v>0</v>
      </c>
      <c r="DK32" s="81">
        <f t="shared" si="58"/>
        <v>0</v>
      </c>
      <c r="DL32" s="81">
        <f t="shared" si="59"/>
        <v>0</v>
      </c>
      <c r="DM32" s="99"/>
      <c r="DN32" s="87"/>
      <c r="DO32" s="81"/>
      <c r="DP32" s="81"/>
      <c r="DQ32" s="81"/>
      <c r="DR32" s="81"/>
      <c r="DS32" s="81">
        <f t="shared" si="60"/>
        <v>0</v>
      </c>
      <c r="DT32" s="81">
        <f t="shared" si="61"/>
        <v>0</v>
      </c>
      <c r="DU32" s="81">
        <f t="shared" si="62"/>
        <v>0</v>
      </c>
      <c r="DV32" s="81"/>
      <c r="DW32" s="81"/>
      <c r="DX32" s="81"/>
      <c r="DY32" s="81"/>
      <c r="DZ32" s="81"/>
      <c r="EA32" s="81"/>
      <c r="EB32" s="81">
        <f t="shared" si="63"/>
        <v>0</v>
      </c>
      <c r="EC32" s="81">
        <f t="shared" si="64"/>
        <v>0</v>
      </c>
      <c r="ED32" s="81">
        <f t="shared" si="65"/>
        <v>0</v>
      </c>
      <c r="EE32" s="87">
        <f t="shared" si="66"/>
        <v>25000</v>
      </c>
      <c r="EF32" s="87">
        <f t="shared" si="67"/>
        <v>15000</v>
      </c>
      <c r="EG32" s="87">
        <f t="shared" si="68"/>
        <v>30000</v>
      </c>
      <c r="EH32" s="96" t="s">
        <v>110</v>
      </c>
    </row>
    <row r="33" spans="1:151" s="54" customFormat="1">
      <c r="A33" s="52" t="s">
        <v>111</v>
      </c>
      <c r="B33" s="53" t="s">
        <v>112</v>
      </c>
      <c r="C33" s="87">
        <v>20000</v>
      </c>
      <c r="D33" s="87">
        <v>20000</v>
      </c>
      <c r="E33" s="81">
        <v>20000</v>
      </c>
      <c r="F33" s="99"/>
      <c r="G33" s="87"/>
      <c r="H33" s="81"/>
      <c r="I33" s="81">
        <f t="shared" si="39"/>
        <v>20000</v>
      </c>
      <c r="J33" s="81">
        <f t="shared" si="40"/>
        <v>20000</v>
      </c>
      <c r="K33" s="81">
        <f t="shared" si="41"/>
        <v>20000</v>
      </c>
      <c r="L33" s="81"/>
      <c r="M33" s="81"/>
      <c r="N33" s="81"/>
      <c r="O33" s="81">
        <v>200</v>
      </c>
      <c r="P33" s="81">
        <v>200</v>
      </c>
      <c r="Q33" s="81"/>
      <c r="R33" s="87">
        <f t="shared" si="42"/>
        <v>200</v>
      </c>
      <c r="S33" s="87">
        <f t="shared" si="43"/>
        <v>200</v>
      </c>
      <c r="T33" s="87">
        <f t="shared" si="44"/>
        <v>0</v>
      </c>
      <c r="U33" s="81">
        <v>0</v>
      </c>
      <c r="V33" s="81">
        <v>0</v>
      </c>
      <c r="W33" s="81">
        <v>0</v>
      </c>
      <c r="X33" s="81"/>
      <c r="Y33" s="81"/>
      <c r="Z33" s="81"/>
      <c r="AA33" s="87">
        <f t="shared" si="45"/>
        <v>0</v>
      </c>
      <c r="AB33" s="87">
        <f t="shared" si="46"/>
        <v>0</v>
      </c>
      <c r="AC33" s="87">
        <f t="shared" si="47"/>
        <v>0</v>
      </c>
      <c r="AD33" s="87">
        <v>2000</v>
      </c>
      <c r="AE33" s="87">
        <v>2000</v>
      </c>
      <c r="AF33" s="81">
        <v>1500</v>
      </c>
      <c r="AG33" s="87">
        <v>300</v>
      </c>
      <c r="AH33" s="87">
        <v>300</v>
      </c>
      <c r="AI33" s="81">
        <v>200</v>
      </c>
      <c r="AJ33" s="87">
        <v>1000</v>
      </c>
      <c r="AK33" s="87">
        <v>1000</v>
      </c>
      <c r="AL33" s="81">
        <v>1000</v>
      </c>
      <c r="AM33" s="87">
        <f t="shared" si="48"/>
        <v>3300</v>
      </c>
      <c r="AN33" s="87">
        <f t="shared" si="49"/>
        <v>3300</v>
      </c>
      <c r="AO33" s="87">
        <f t="shared" si="50"/>
        <v>2700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7">
        <v>12000</v>
      </c>
      <c r="BR33" s="87">
        <v>12000</v>
      </c>
      <c r="BS33" s="81">
        <v>12000</v>
      </c>
      <c r="BT33" s="81"/>
      <c r="BU33" s="81"/>
      <c r="BV33" s="81"/>
      <c r="BW33" s="87">
        <f t="shared" si="51"/>
        <v>12000</v>
      </c>
      <c r="BX33" s="87">
        <f t="shared" si="52"/>
        <v>12000</v>
      </c>
      <c r="BY33" s="87">
        <f t="shared" si="53"/>
        <v>12000</v>
      </c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7"/>
      <c r="CM33" s="87"/>
      <c r="CN33" s="81"/>
      <c r="CO33" s="81"/>
      <c r="CP33" s="81"/>
      <c r="CQ33" s="81"/>
      <c r="CR33" s="81">
        <f t="shared" si="54"/>
        <v>0</v>
      </c>
      <c r="CS33" s="81">
        <f t="shared" si="55"/>
        <v>0</v>
      </c>
      <c r="CT33" s="81">
        <f t="shared" si="56"/>
        <v>0</v>
      </c>
      <c r="CU33" s="81"/>
      <c r="CV33" s="81"/>
      <c r="CW33" s="81"/>
      <c r="CX33" s="81"/>
      <c r="CY33" s="81"/>
      <c r="CZ33" s="81"/>
      <c r="DA33" s="81"/>
      <c r="DB33" s="81"/>
      <c r="DC33" s="81"/>
      <c r="DD33" s="87">
        <v>240</v>
      </c>
      <c r="DE33" s="87">
        <v>240</v>
      </c>
      <c r="DF33" s="81">
        <v>300</v>
      </c>
      <c r="DG33" s="81">
        <v>1700</v>
      </c>
      <c r="DH33" s="81">
        <v>1700</v>
      </c>
      <c r="DI33" s="81">
        <v>1700</v>
      </c>
      <c r="DJ33" s="81">
        <f t="shared" si="57"/>
        <v>8000</v>
      </c>
      <c r="DK33" s="81">
        <f t="shared" si="58"/>
        <v>7000</v>
      </c>
      <c r="DL33" s="81">
        <f t="shared" si="59"/>
        <v>10000</v>
      </c>
      <c r="DM33" s="99">
        <v>7000</v>
      </c>
      <c r="DN33" s="87">
        <v>7000</v>
      </c>
      <c r="DO33" s="81">
        <v>9000</v>
      </c>
      <c r="DP33" s="81">
        <v>1000</v>
      </c>
      <c r="DQ33" s="81">
        <f>1000-1000</f>
        <v>0</v>
      </c>
      <c r="DR33" s="81">
        <v>1000</v>
      </c>
      <c r="DS33" s="81">
        <f t="shared" si="60"/>
        <v>9940</v>
      </c>
      <c r="DT33" s="81">
        <f t="shared" si="61"/>
        <v>8940</v>
      </c>
      <c r="DU33" s="81">
        <f t="shared" si="62"/>
        <v>12000</v>
      </c>
      <c r="DV33" s="81"/>
      <c r="DW33" s="81"/>
      <c r="DX33" s="81"/>
      <c r="DY33" s="81"/>
      <c r="DZ33" s="81"/>
      <c r="EA33" s="81"/>
      <c r="EB33" s="81">
        <f t="shared" si="63"/>
        <v>0</v>
      </c>
      <c r="EC33" s="81">
        <f t="shared" si="64"/>
        <v>0</v>
      </c>
      <c r="ED33" s="81">
        <f t="shared" si="65"/>
        <v>0</v>
      </c>
      <c r="EE33" s="87">
        <f t="shared" si="66"/>
        <v>45440</v>
      </c>
      <c r="EF33" s="87">
        <f t="shared" si="67"/>
        <v>44440</v>
      </c>
      <c r="EG33" s="87">
        <f t="shared" si="68"/>
        <v>46700</v>
      </c>
      <c r="EH33" s="100" t="s">
        <v>112</v>
      </c>
      <c r="ER33" s="74"/>
    </row>
    <row r="34" spans="1:151" s="54" customFormat="1">
      <c r="A34" s="33" t="s">
        <v>233</v>
      </c>
      <c r="B34" s="55" t="s">
        <v>234</v>
      </c>
      <c r="C34" s="87">
        <v>2500</v>
      </c>
      <c r="D34" s="87">
        <f>2500+1000+7500</f>
        <v>11000</v>
      </c>
      <c r="E34" s="81">
        <v>4000</v>
      </c>
      <c r="F34" s="99"/>
      <c r="G34" s="87"/>
      <c r="H34" s="81"/>
      <c r="I34" s="81">
        <f t="shared" si="39"/>
        <v>2500</v>
      </c>
      <c r="J34" s="81">
        <f t="shared" si="40"/>
        <v>11000</v>
      </c>
      <c r="K34" s="81">
        <f t="shared" si="41"/>
        <v>4000</v>
      </c>
      <c r="L34" s="81"/>
      <c r="M34" s="81"/>
      <c r="N34" s="81"/>
      <c r="O34" s="81"/>
      <c r="P34" s="81"/>
      <c r="Q34" s="81"/>
      <c r="R34" s="87">
        <f t="shared" si="42"/>
        <v>0</v>
      </c>
      <c r="S34" s="87">
        <f t="shared" si="43"/>
        <v>0</v>
      </c>
      <c r="T34" s="87">
        <f t="shared" si="44"/>
        <v>0</v>
      </c>
      <c r="U34" s="81">
        <v>0</v>
      </c>
      <c r="V34" s="81">
        <v>0</v>
      </c>
      <c r="W34" s="81">
        <v>0</v>
      </c>
      <c r="X34" s="81"/>
      <c r="Y34" s="81"/>
      <c r="Z34" s="81"/>
      <c r="AA34" s="87">
        <f t="shared" si="45"/>
        <v>0</v>
      </c>
      <c r="AB34" s="87">
        <f t="shared" si="46"/>
        <v>0</v>
      </c>
      <c r="AC34" s="87">
        <f t="shared" si="47"/>
        <v>0</v>
      </c>
      <c r="AD34" s="81"/>
      <c r="AE34" s="87"/>
      <c r="AF34" s="81"/>
      <c r="AG34" s="95"/>
      <c r="AH34" s="95"/>
      <c r="AI34" s="81"/>
      <c r="AJ34" s="81"/>
      <c r="AK34" s="81"/>
      <c r="AL34" s="81"/>
      <c r="AM34" s="87">
        <f t="shared" si="48"/>
        <v>0</v>
      </c>
      <c r="AN34" s="87">
        <f t="shared" si="49"/>
        <v>0</v>
      </c>
      <c r="AO34" s="87">
        <f t="shared" si="50"/>
        <v>0</v>
      </c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7"/>
      <c r="BR34" s="87"/>
      <c r="BS34" s="81"/>
      <c r="BT34" s="81"/>
      <c r="BU34" s="81"/>
      <c r="BV34" s="81"/>
      <c r="BW34" s="87">
        <f t="shared" si="51"/>
        <v>0</v>
      </c>
      <c r="BX34" s="87">
        <f t="shared" si="52"/>
        <v>0</v>
      </c>
      <c r="BY34" s="87">
        <f t="shared" si="53"/>
        <v>0</v>
      </c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7"/>
      <c r="CM34" s="87"/>
      <c r="CN34" s="81"/>
      <c r="CO34" s="81"/>
      <c r="CP34" s="81"/>
      <c r="CQ34" s="81"/>
      <c r="CR34" s="81">
        <f t="shared" si="54"/>
        <v>0</v>
      </c>
      <c r="CS34" s="81">
        <f t="shared" si="55"/>
        <v>0</v>
      </c>
      <c r="CT34" s="81">
        <f t="shared" si="56"/>
        <v>0</v>
      </c>
      <c r="CU34" s="81"/>
      <c r="CV34" s="81"/>
      <c r="CW34" s="81"/>
      <c r="CX34" s="81"/>
      <c r="CY34" s="81"/>
      <c r="CZ34" s="81"/>
      <c r="DA34" s="81"/>
      <c r="DB34" s="81"/>
      <c r="DC34" s="81"/>
      <c r="DD34" s="95"/>
      <c r="DE34" s="95"/>
      <c r="DF34" s="81"/>
      <c r="DG34" s="81"/>
      <c r="DH34" s="81"/>
      <c r="DI34" s="81"/>
      <c r="DJ34" s="81">
        <f t="shared" si="57"/>
        <v>0</v>
      </c>
      <c r="DK34" s="81">
        <f t="shared" si="58"/>
        <v>0</v>
      </c>
      <c r="DL34" s="81">
        <f t="shared" si="59"/>
        <v>0</v>
      </c>
      <c r="DM34" s="99"/>
      <c r="DN34" s="87"/>
      <c r="DO34" s="81"/>
      <c r="DP34" s="81"/>
      <c r="DQ34" s="81"/>
      <c r="DR34" s="81"/>
      <c r="DS34" s="81">
        <f t="shared" si="60"/>
        <v>0</v>
      </c>
      <c r="DT34" s="81">
        <f t="shared" si="61"/>
        <v>0</v>
      </c>
      <c r="DU34" s="81">
        <f t="shared" si="62"/>
        <v>0</v>
      </c>
      <c r="DV34" s="81"/>
      <c r="DW34" s="81"/>
      <c r="DX34" s="81"/>
      <c r="DY34" s="81"/>
      <c r="DZ34" s="81"/>
      <c r="EA34" s="81"/>
      <c r="EB34" s="81">
        <f t="shared" si="63"/>
        <v>0</v>
      </c>
      <c r="EC34" s="81">
        <f t="shared" si="64"/>
        <v>0</v>
      </c>
      <c r="ED34" s="81">
        <f t="shared" si="65"/>
        <v>0</v>
      </c>
      <c r="EE34" s="87">
        <f t="shared" si="66"/>
        <v>2500</v>
      </c>
      <c r="EF34" s="87">
        <f t="shared" si="67"/>
        <v>11000</v>
      </c>
      <c r="EG34" s="87">
        <f t="shared" si="68"/>
        <v>4000</v>
      </c>
      <c r="EH34" s="101" t="s">
        <v>234</v>
      </c>
      <c r="ER34" s="74"/>
    </row>
    <row r="35" spans="1:151" s="54" customFormat="1">
      <c r="A35" s="33" t="s">
        <v>235</v>
      </c>
      <c r="B35" s="55" t="s">
        <v>236</v>
      </c>
      <c r="C35" s="87">
        <v>15000</v>
      </c>
      <c r="D35" s="87">
        <f>15000+6200</f>
        <v>21200</v>
      </c>
      <c r="E35" s="81">
        <v>14000</v>
      </c>
      <c r="F35" s="99"/>
      <c r="G35" s="87"/>
      <c r="H35" s="81"/>
      <c r="I35" s="81">
        <f t="shared" si="39"/>
        <v>15000</v>
      </c>
      <c r="J35" s="81">
        <f t="shared" si="40"/>
        <v>21200</v>
      </c>
      <c r="K35" s="81">
        <f t="shared" si="41"/>
        <v>14000</v>
      </c>
      <c r="L35" s="81"/>
      <c r="M35" s="81"/>
      <c r="N35" s="81"/>
      <c r="O35" s="81"/>
      <c r="P35" s="81"/>
      <c r="Q35" s="81"/>
      <c r="R35" s="87">
        <f t="shared" si="42"/>
        <v>0</v>
      </c>
      <c r="S35" s="87">
        <f t="shared" si="43"/>
        <v>0</v>
      </c>
      <c r="T35" s="87">
        <f t="shared" si="44"/>
        <v>0</v>
      </c>
      <c r="U35" s="81">
        <v>0</v>
      </c>
      <c r="V35" s="81">
        <v>0</v>
      </c>
      <c r="W35" s="81">
        <v>0</v>
      </c>
      <c r="X35" s="81"/>
      <c r="Y35" s="81"/>
      <c r="Z35" s="81"/>
      <c r="AA35" s="87">
        <f t="shared" si="45"/>
        <v>0</v>
      </c>
      <c r="AB35" s="87">
        <f t="shared" si="46"/>
        <v>0</v>
      </c>
      <c r="AC35" s="87">
        <f t="shared" si="47"/>
        <v>0</v>
      </c>
      <c r="AD35" s="81"/>
      <c r="AE35" s="87"/>
      <c r="AF35" s="81"/>
      <c r="AG35" s="95"/>
      <c r="AH35" s="95"/>
      <c r="AI35" s="81"/>
      <c r="AJ35" s="81"/>
      <c r="AK35" s="81"/>
      <c r="AL35" s="81"/>
      <c r="AM35" s="87">
        <f t="shared" si="48"/>
        <v>0</v>
      </c>
      <c r="AN35" s="87">
        <f t="shared" si="49"/>
        <v>0</v>
      </c>
      <c r="AO35" s="87">
        <f t="shared" si="50"/>
        <v>0</v>
      </c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7"/>
      <c r="BR35" s="87"/>
      <c r="BS35" s="81"/>
      <c r="BT35" s="81"/>
      <c r="BU35" s="81"/>
      <c r="BV35" s="81"/>
      <c r="BW35" s="87">
        <f t="shared" si="51"/>
        <v>0</v>
      </c>
      <c r="BX35" s="87">
        <f t="shared" si="52"/>
        <v>0</v>
      </c>
      <c r="BY35" s="87">
        <f t="shared" si="53"/>
        <v>0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7"/>
      <c r="CM35" s="87"/>
      <c r="CN35" s="81"/>
      <c r="CO35" s="81"/>
      <c r="CP35" s="81"/>
      <c r="CQ35" s="81"/>
      <c r="CR35" s="81">
        <f t="shared" si="54"/>
        <v>0</v>
      </c>
      <c r="CS35" s="81">
        <f t="shared" si="55"/>
        <v>0</v>
      </c>
      <c r="CT35" s="81">
        <f t="shared" si="56"/>
        <v>0</v>
      </c>
      <c r="CU35" s="81"/>
      <c r="CV35" s="81"/>
      <c r="CW35" s="81"/>
      <c r="CX35" s="81"/>
      <c r="CY35" s="81"/>
      <c r="CZ35" s="81"/>
      <c r="DA35" s="81"/>
      <c r="DB35" s="81"/>
      <c r="DC35" s="81"/>
      <c r="DD35" s="95"/>
      <c r="DE35" s="95"/>
      <c r="DF35" s="81"/>
      <c r="DG35" s="81"/>
      <c r="DH35" s="81"/>
      <c r="DI35" s="81"/>
      <c r="DJ35" s="81">
        <f t="shared" si="57"/>
        <v>0</v>
      </c>
      <c r="DK35" s="81">
        <f t="shared" si="58"/>
        <v>0</v>
      </c>
      <c r="DL35" s="81">
        <f t="shared" si="59"/>
        <v>0</v>
      </c>
      <c r="DM35" s="99"/>
      <c r="DN35" s="87"/>
      <c r="DO35" s="81"/>
      <c r="DP35" s="81"/>
      <c r="DQ35" s="81"/>
      <c r="DR35" s="81"/>
      <c r="DS35" s="81">
        <f t="shared" si="60"/>
        <v>0</v>
      </c>
      <c r="DT35" s="81">
        <f t="shared" si="61"/>
        <v>0</v>
      </c>
      <c r="DU35" s="81">
        <f t="shared" si="62"/>
        <v>0</v>
      </c>
      <c r="DV35" s="81"/>
      <c r="DW35" s="81"/>
      <c r="DX35" s="81"/>
      <c r="DY35" s="81"/>
      <c r="DZ35" s="81"/>
      <c r="EA35" s="81"/>
      <c r="EB35" s="81">
        <f t="shared" si="63"/>
        <v>0</v>
      </c>
      <c r="EC35" s="81">
        <f t="shared" si="64"/>
        <v>0</v>
      </c>
      <c r="ED35" s="81">
        <f t="shared" si="65"/>
        <v>0</v>
      </c>
      <c r="EE35" s="87">
        <f t="shared" si="66"/>
        <v>15000</v>
      </c>
      <c r="EF35" s="87">
        <f t="shared" si="67"/>
        <v>21200</v>
      </c>
      <c r="EG35" s="87">
        <f t="shared" si="68"/>
        <v>14000</v>
      </c>
      <c r="EH35" s="101" t="s">
        <v>236</v>
      </c>
      <c r="ER35" s="74"/>
    </row>
    <row r="36" spans="1:151">
      <c r="A36" s="33" t="s">
        <v>113</v>
      </c>
      <c r="B36" s="55" t="s">
        <v>114</v>
      </c>
      <c r="C36" s="95"/>
      <c r="D36" s="95"/>
      <c r="E36" s="81"/>
      <c r="F36" s="99"/>
      <c r="G36" s="87"/>
      <c r="H36" s="81"/>
      <c r="I36" s="81">
        <f t="shared" si="39"/>
        <v>0</v>
      </c>
      <c r="J36" s="81">
        <f t="shared" si="40"/>
        <v>0</v>
      </c>
      <c r="K36" s="81">
        <f t="shared" si="41"/>
        <v>0</v>
      </c>
      <c r="L36" s="81"/>
      <c r="M36" s="81"/>
      <c r="N36" s="81"/>
      <c r="O36" s="81"/>
      <c r="P36" s="81"/>
      <c r="Q36" s="81"/>
      <c r="R36" s="87">
        <f t="shared" si="42"/>
        <v>0</v>
      </c>
      <c r="S36" s="87">
        <f t="shared" si="43"/>
        <v>0</v>
      </c>
      <c r="T36" s="87">
        <f t="shared" si="44"/>
        <v>0</v>
      </c>
      <c r="U36" s="81">
        <v>0</v>
      </c>
      <c r="V36" s="81">
        <v>0</v>
      </c>
      <c r="W36" s="81">
        <v>0</v>
      </c>
      <c r="X36" s="81"/>
      <c r="Y36" s="81"/>
      <c r="Z36" s="81"/>
      <c r="AA36" s="87">
        <f t="shared" si="45"/>
        <v>0</v>
      </c>
      <c r="AB36" s="87">
        <f t="shared" si="46"/>
        <v>0</v>
      </c>
      <c r="AC36" s="87">
        <f t="shared" si="47"/>
        <v>0</v>
      </c>
      <c r="AD36" s="81"/>
      <c r="AE36" s="87"/>
      <c r="AF36" s="81"/>
      <c r="AG36" s="95"/>
      <c r="AH36" s="95"/>
      <c r="AI36" s="81"/>
      <c r="AJ36" s="81"/>
      <c r="AK36" s="81"/>
      <c r="AL36" s="81"/>
      <c r="AM36" s="87">
        <f t="shared" si="48"/>
        <v>0</v>
      </c>
      <c r="AN36" s="87">
        <f t="shared" si="49"/>
        <v>0</v>
      </c>
      <c r="AO36" s="87">
        <f t="shared" si="50"/>
        <v>0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7"/>
      <c r="BR36" s="87"/>
      <c r="BS36" s="81"/>
      <c r="BT36" s="81"/>
      <c r="BU36" s="81"/>
      <c r="BV36" s="81"/>
      <c r="BW36" s="87">
        <f t="shared" si="51"/>
        <v>0</v>
      </c>
      <c r="BX36" s="87">
        <f t="shared" si="52"/>
        <v>0</v>
      </c>
      <c r="BY36" s="87">
        <f t="shared" si="53"/>
        <v>0</v>
      </c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7"/>
      <c r="CM36" s="87"/>
      <c r="CN36" s="81"/>
      <c r="CO36" s="81"/>
      <c r="CP36" s="81"/>
      <c r="CQ36" s="81"/>
      <c r="CR36" s="81">
        <f t="shared" si="54"/>
        <v>0</v>
      </c>
      <c r="CS36" s="81">
        <f t="shared" si="55"/>
        <v>0</v>
      </c>
      <c r="CT36" s="81">
        <f t="shared" si="56"/>
        <v>0</v>
      </c>
      <c r="CU36" s="81"/>
      <c r="CV36" s="81"/>
      <c r="CW36" s="81"/>
      <c r="CX36" s="81"/>
      <c r="CY36" s="81"/>
      <c r="CZ36" s="81"/>
      <c r="DA36" s="81"/>
      <c r="DB36" s="81"/>
      <c r="DC36" s="81"/>
      <c r="DD36" s="95"/>
      <c r="DE36" s="95"/>
      <c r="DF36" s="81"/>
      <c r="DG36" s="81"/>
      <c r="DH36" s="81"/>
      <c r="DI36" s="81"/>
      <c r="DJ36" s="81">
        <f t="shared" si="57"/>
        <v>0</v>
      </c>
      <c r="DK36" s="81">
        <f t="shared" si="58"/>
        <v>0</v>
      </c>
      <c r="DL36" s="81">
        <f t="shared" si="59"/>
        <v>0</v>
      </c>
      <c r="DM36" s="99"/>
      <c r="DN36" s="87"/>
      <c r="DO36" s="81"/>
      <c r="DP36" s="81"/>
      <c r="DQ36" s="81"/>
      <c r="DR36" s="81"/>
      <c r="DS36" s="81">
        <f t="shared" si="60"/>
        <v>0</v>
      </c>
      <c r="DT36" s="81">
        <f t="shared" si="61"/>
        <v>0</v>
      </c>
      <c r="DU36" s="81">
        <f t="shared" si="62"/>
        <v>0</v>
      </c>
      <c r="DV36" s="81"/>
      <c r="DW36" s="81"/>
      <c r="DX36" s="81"/>
      <c r="DY36" s="81"/>
      <c r="DZ36" s="81"/>
      <c r="EA36" s="81"/>
      <c r="EB36" s="81">
        <f t="shared" si="63"/>
        <v>0</v>
      </c>
      <c r="EC36" s="81">
        <f t="shared" si="64"/>
        <v>0</v>
      </c>
      <c r="ED36" s="81">
        <f t="shared" si="65"/>
        <v>0</v>
      </c>
      <c r="EE36" s="87">
        <f t="shared" si="66"/>
        <v>0</v>
      </c>
      <c r="EF36" s="87">
        <f t="shared" si="67"/>
        <v>0</v>
      </c>
      <c r="EG36" s="87">
        <f t="shared" si="68"/>
        <v>0</v>
      </c>
      <c r="EH36" s="101" t="s">
        <v>114</v>
      </c>
    </row>
    <row r="37" spans="1:151">
      <c r="A37" s="33" t="s">
        <v>115</v>
      </c>
      <c r="B37" s="55" t="s">
        <v>116</v>
      </c>
      <c r="C37" s="87">
        <v>1000</v>
      </c>
      <c r="D37" s="87">
        <v>1000</v>
      </c>
      <c r="E37" s="81">
        <v>1000</v>
      </c>
      <c r="F37" s="99">
        <v>10000</v>
      </c>
      <c r="G37" s="87">
        <v>10000</v>
      </c>
      <c r="H37" s="81">
        <v>1000</v>
      </c>
      <c r="I37" s="81">
        <f t="shared" si="39"/>
        <v>11000</v>
      </c>
      <c r="J37" s="81">
        <f t="shared" si="40"/>
        <v>11000</v>
      </c>
      <c r="K37" s="81">
        <f t="shared" si="41"/>
        <v>2000</v>
      </c>
      <c r="L37" s="81"/>
      <c r="M37" s="81"/>
      <c r="N37" s="81"/>
      <c r="O37" s="81"/>
      <c r="P37" s="81"/>
      <c r="Q37" s="81"/>
      <c r="R37" s="87">
        <f t="shared" si="42"/>
        <v>0</v>
      </c>
      <c r="S37" s="87">
        <f t="shared" si="43"/>
        <v>0</v>
      </c>
      <c r="T37" s="87">
        <f t="shared" si="44"/>
        <v>0</v>
      </c>
      <c r="U37" s="81">
        <v>0</v>
      </c>
      <c r="V37" s="81">
        <v>0</v>
      </c>
      <c r="W37" s="81">
        <v>0</v>
      </c>
      <c r="X37" s="81">
        <v>0</v>
      </c>
      <c r="Y37" s="81">
        <v>30</v>
      </c>
      <c r="Z37" s="81">
        <v>50</v>
      </c>
      <c r="AA37" s="87">
        <f t="shared" si="45"/>
        <v>0</v>
      </c>
      <c r="AB37" s="87">
        <f t="shared" si="46"/>
        <v>30</v>
      </c>
      <c r="AC37" s="87">
        <f t="shared" si="47"/>
        <v>50</v>
      </c>
      <c r="AD37" s="81"/>
      <c r="AE37" s="87"/>
      <c r="AF37" s="81"/>
      <c r="AG37" s="95"/>
      <c r="AH37" s="87">
        <v>20</v>
      </c>
      <c r="AI37" s="81">
        <v>50</v>
      </c>
      <c r="AJ37" s="81"/>
      <c r="AK37" s="81"/>
      <c r="AL37" s="81"/>
      <c r="AM37" s="87">
        <f t="shared" si="48"/>
        <v>0</v>
      </c>
      <c r="AN37" s="87">
        <f t="shared" si="49"/>
        <v>20</v>
      </c>
      <c r="AO37" s="87">
        <f t="shared" si="50"/>
        <v>50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7">
        <v>10</v>
      </c>
      <c r="BR37" s="87">
        <v>10</v>
      </c>
      <c r="BS37" s="81">
        <v>10</v>
      </c>
      <c r="BT37" s="81"/>
      <c r="BU37" s="81"/>
      <c r="BV37" s="81"/>
      <c r="BW37" s="87">
        <f t="shared" si="51"/>
        <v>10</v>
      </c>
      <c r="BX37" s="87">
        <f t="shared" si="52"/>
        <v>10</v>
      </c>
      <c r="BY37" s="87">
        <f t="shared" si="53"/>
        <v>10</v>
      </c>
      <c r="BZ37" s="81"/>
      <c r="CA37" s="81"/>
      <c r="CB37" s="81"/>
      <c r="CC37" s="81"/>
      <c r="CD37" s="81"/>
      <c r="CE37" s="81"/>
      <c r="CF37" s="81">
        <v>500</v>
      </c>
      <c r="CG37" s="81">
        <v>500</v>
      </c>
      <c r="CH37" s="81">
        <v>600</v>
      </c>
      <c r="CI37" s="81"/>
      <c r="CJ37" s="81"/>
      <c r="CK37" s="81"/>
      <c r="CL37" s="87"/>
      <c r="CM37" s="87"/>
      <c r="CN37" s="81"/>
      <c r="CO37" s="81"/>
      <c r="CP37" s="81"/>
      <c r="CQ37" s="81"/>
      <c r="CR37" s="81">
        <f t="shared" si="54"/>
        <v>500</v>
      </c>
      <c r="CS37" s="81">
        <f t="shared" si="55"/>
        <v>500</v>
      </c>
      <c r="CT37" s="81">
        <f t="shared" si="56"/>
        <v>600</v>
      </c>
      <c r="CU37" s="81"/>
      <c r="CV37" s="81"/>
      <c r="CW37" s="81"/>
      <c r="CX37" s="81"/>
      <c r="CY37" s="81"/>
      <c r="CZ37" s="81"/>
      <c r="DA37" s="81"/>
      <c r="DB37" s="81"/>
      <c r="DC37" s="81"/>
      <c r="DD37" s="95"/>
      <c r="DE37" s="95"/>
      <c r="DF37" s="81"/>
      <c r="DG37" s="81"/>
      <c r="DH37" s="81"/>
      <c r="DI37" s="81">
        <v>800</v>
      </c>
      <c r="DJ37" s="81">
        <f t="shared" si="57"/>
        <v>100000</v>
      </c>
      <c r="DK37" s="81">
        <f t="shared" si="58"/>
        <v>100000</v>
      </c>
      <c r="DL37" s="81">
        <f t="shared" si="59"/>
        <v>100000</v>
      </c>
      <c r="DM37" s="99">
        <v>100000</v>
      </c>
      <c r="DN37" s="87">
        <v>100000</v>
      </c>
      <c r="DO37" s="81">
        <v>100000</v>
      </c>
      <c r="DP37" s="81"/>
      <c r="DQ37" s="81"/>
      <c r="DR37" s="81"/>
      <c r="DS37" s="81">
        <f t="shared" si="60"/>
        <v>100000</v>
      </c>
      <c r="DT37" s="81">
        <f t="shared" si="61"/>
        <v>100000</v>
      </c>
      <c r="DU37" s="81">
        <f t="shared" si="62"/>
        <v>100800</v>
      </c>
      <c r="DV37" s="81"/>
      <c r="DW37" s="81"/>
      <c r="DX37" s="81"/>
      <c r="DY37" s="81"/>
      <c r="DZ37" s="81"/>
      <c r="EA37" s="81"/>
      <c r="EB37" s="81">
        <f t="shared" si="63"/>
        <v>0</v>
      </c>
      <c r="EC37" s="81">
        <f t="shared" si="64"/>
        <v>0</v>
      </c>
      <c r="ED37" s="81">
        <f t="shared" si="65"/>
        <v>0</v>
      </c>
      <c r="EE37" s="87">
        <f t="shared" si="66"/>
        <v>111510</v>
      </c>
      <c r="EF37" s="87">
        <f t="shared" si="67"/>
        <v>111560</v>
      </c>
      <c r="EG37" s="87">
        <f t="shared" si="68"/>
        <v>103510</v>
      </c>
      <c r="EH37" s="101" t="s">
        <v>116</v>
      </c>
    </row>
    <row r="38" spans="1:151" s="54" customFormat="1">
      <c r="A38" s="33" t="s">
        <v>117</v>
      </c>
      <c r="B38" s="53" t="s">
        <v>118</v>
      </c>
      <c r="C38" s="87">
        <v>53319</v>
      </c>
      <c r="D38" s="87">
        <f>53319+186</f>
        <v>53505</v>
      </c>
      <c r="E38" s="81">
        <f>62229-5760</f>
        <v>56469</v>
      </c>
      <c r="F38" s="99">
        <v>26659</v>
      </c>
      <c r="G38" s="87">
        <f>26659+94</f>
        <v>26753</v>
      </c>
      <c r="H38" s="81">
        <v>27735</v>
      </c>
      <c r="I38" s="81">
        <f t="shared" si="39"/>
        <v>79978</v>
      </c>
      <c r="J38" s="81">
        <f t="shared" si="40"/>
        <v>80258</v>
      </c>
      <c r="K38" s="81">
        <f t="shared" si="41"/>
        <v>84204</v>
      </c>
      <c r="L38" s="81"/>
      <c r="M38" s="81"/>
      <c r="N38" s="81">
        <f>110000-110000</f>
        <v>0</v>
      </c>
      <c r="O38" s="81"/>
      <c r="P38" s="81"/>
      <c r="Q38" s="81"/>
      <c r="R38" s="87">
        <f t="shared" si="42"/>
        <v>0</v>
      </c>
      <c r="S38" s="87">
        <f t="shared" si="43"/>
        <v>0</v>
      </c>
      <c r="T38" s="87">
        <f t="shared" si="44"/>
        <v>0</v>
      </c>
      <c r="U38" s="81">
        <v>0</v>
      </c>
      <c r="V38" s="81">
        <v>0</v>
      </c>
      <c r="W38" s="81">
        <v>0</v>
      </c>
      <c r="X38" s="81"/>
      <c r="Y38" s="81"/>
      <c r="Z38" s="81"/>
      <c r="AA38" s="87">
        <f t="shared" si="45"/>
        <v>0</v>
      </c>
      <c r="AB38" s="87">
        <f t="shared" si="46"/>
        <v>0</v>
      </c>
      <c r="AC38" s="87">
        <f t="shared" si="47"/>
        <v>0</v>
      </c>
      <c r="AD38" s="81"/>
      <c r="AE38" s="87"/>
      <c r="AF38" s="81"/>
      <c r="AG38" s="95"/>
      <c r="AH38" s="95"/>
      <c r="AI38" s="81"/>
      <c r="AJ38" s="81"/>
      <c r="AK38" s="81"/>
      <c r="AL38" s="81"/>
      <c r="AM38" s="87">
        <f t="shared" si="48"/>
        <v>0</v>
      </c>
      <c r="AN38" s="87">
        <f t="shared" si="49"/>
        <v>0</v>
      </c>
      <c r="AO38" s="87">
        <f t="shared" si="50"/>
        <v>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7"/>
      <c r="BR38" s="87"/>
      <c r="BS38" s="81"/>
      <c r="BT38" s="81"/>
      <c r="BU38" s="81"/>
      <c r="BV38" s="81"/>
      <c r="BW38" s="87">
        <f t="shared" si="51"/>
        <v>0</v>
      </c>
      <c r="BX38" s="87">
        <f t="shared" si="52"/>
        <v>0</v>
      </c>
      <c r="BY38" s="87">
        <f t="shared" si="53"/>
        <v>0</v>
      </c>
      <c r="BZ38" s="81"/>
      <c r="CA38" s="81"/>
      <c r="CB38" s="81"/>
      <c r="CC38" s="81"/>
      <c r="CD38" s="81"/>
      <c r="CE38" s="81"/>
      <c r="CF38" s="81">
        <v>11250</v>
      </c>
      <c r="CG38" s="81">
        <v>11250</v>
      </c>
      <c r="CH38" s="81"/>
      <c r="CI38" s="81"/>
      <c r="CJ38" s="81"/>
      <c r="CK38" s="81"/>
      <c r="CL38" s="87">
        <v>1600</v>
      </c>
      <c r="CM38" s="87">
        <v>1600</v>
      </c>
      <c r="CN38" s="81">
        <v>2000</v>
      </c>
      <c r="CO38" s="81"/>
      <c r="CP38" s="81"/>
      <c r="CQ38" s="81"/>
      <c r="CR38" s="81">
        <f t="shared" si="54"/>
        <v>12850</v>
      </c>
      <c r="CS38" s="81">
        <f t="shared" si="55"/>
        <v>12850</v>
      </c>
      <c r="CT38" s="81">
        <f t="shared" si="56"/>
        <v>2000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7"/>
      <c r="DE38" s="87"/>
      <c r="DF38" s="81">
        <v>1500</v>
      </c>
      <c r="DG38" s="81"/>
      <c r="DH38" s="81"/>
      <c r="DI38" s="81"/>
      <c r="DJ38" s="81">
        <f t="shared" si="57"/>
        <v>800</v>
      </c>
      <c r="DK38" s="81">
        <f t="shared" si="58"/>
        <v>800</v>
      </c>
      <c r="DL38" s="81">
        <f t="shared" si="59"/>
        <v>800</v>
      </c>
      <c r="DM38" s="99">
        <v>800</v>
      </c>
      <c r="DN38" s="87">
        <v>800</v>
      </c>
      <c r="DO38" s="81">
        <v>800</v>
      </c>
      <c r="DP38" s="81"/>
      <c r="DQ38" s="81"/>
      <c r="DR38" s="81"/>
      <c r="DS38" s="81">
        <f t="shared" si="60"/>
        <v>800</v>
      </c>
      <c r="DT38" s="81">
        <f t="shared" si="61"/>
        <v>800</v>
      </c>
      <c r="DU38" s="81">
        <f t="shared" si="62"/>
        <v>2300</v>
      </c>
      <c r="DV38" s="81"/>
      <c r="DW38" s="81"/>
      <c r="DX38" s="81"/>
      <c r="DY38" s="81"/>
      <c r="DZ38" s="81"/>
      <c r="EA38" s="81"/>
      <c r="EB38" s="81">
        <f t="shared" si="63"/>
        <v>0</v>
      </c>
      <c r="EC38" s="81">
        <f t="shared" si="64"/>
        <v>0</v>
      </c>
      <c r="ED38" s="81">
        <f t="shared" si="65"/>
        <v>0</v>
      </c>
      <c r="EE38" s="87">
        <f t="shared" si="66"/>
        <v>93628</v>
      </c>
      <c r="EF38" s="87">
        <f t="shared" si="67"/>
        <v>93908</v>
      </c>
      <c r="EG38" s="87">
        <f t="shared" si="68"/>
        <v>88504</v>
      </c>
      <c r="EH38" s="100" t="s">
        <v>118</v>
      </c>
      <c r="ER38" s="74"/>
    </row>
    <row r="39" spans="1:151" s="32" customFormat="1">
      <c r="A39" s="39" t="s">
        <v>119</v>
      </c>
      <c r="B39" s="25" t="s">
        <v>120</v>
      </c>
      <c r="C39" s="91">
        <f>SUM(C40:C41)</f>
        <v>2500</v>
      </c>
      <c r="D39" s="91">
        <f>SUM(D40:D41)</f>
        <v>2314</v>
      </c>
      <c r="E39" s="91">
        <f t="shared" ref="E39:AZ39" si="69">SUM(E40:E41)</f>
        <v>3330</v>
      </c>
      <c r="F39" s="102">
        <f>SUM(F40:F41)</f>
        <v>0</v>
      </c>
      <c r="G39" s="91">
        <f>SUM(G40:G41)</f>
        <v>106</v>
      </c>
      <c r="H39" s="91">
        <f t="shared" si="69"/>
        <v>200</v>
      </c>
      <c r="I39" s="91">
        <f t="shared" si="69"/>
        <v>2500</v>
      </c>
      <c r="J39" s="91">
        <f t="shared" si="69"/>
        <v>2420</v>
      </c>
      <c r="K39" s="91">
        <f t="shared" si="69"/>
        <v>3530</v>
      </c>
      <c r="L39" s="91">
        <f>SUM(L40:L41)</f>
        <v>0</v>
      </c>
      <c r="M39" s="91">
        <f>SUM(M40:M41)</f>
        <v>0</v>
      </c>
      <c r="N39" s="91">
        <f t="shared" si="69"/>
        <v>0</v>
      </c>
      <c r="O39" s="91">
        <f t="shared" si="69"/>
        <v>0</v>
      </c>
      <c r="P39" s="91">
        <f t="shared" si="69"/>
        <v>0</v>
      </c>
      <c r="Q39" s="91">
        <f t="shared" si="69"/>
        <v>0</v>
      </c>
      <c r="R39" s="91">
        <f t="shared" si="69"/>
        <v>0</v>
      </c>
      <c r="S39" s="91">
        <f t="shared" si="69"/>
        <v>0</v>
      </c>
      <c r="T39" s="91">
        <f t="shared" si="69"/>
        <v>0</v>
      </c>
      <c r="U39" s="91">
        <f>SUM(U40:U41)</f>
        <v>0</v>
      </c>
      <c r="V39" s="91">
        <f>SUM(V40:V41)</f>
        <v>0</v>
      </c>
      <c r="W39" s="91">
        <f t="shared" si="69"/>
        <v>0</v>
      </c>
      <c r="X39" s="91">
        <f>SUM(X40:X41)</f>
        <v>0</v>
      </c>
      <c r="Y39" s="91">
        <f>SUM(Y40:Y41)</f>
        <v>0</v>
      </c>
      <c r="Z39" s="91">
        <f t="shared" si="69"/>
        <v>0</v>
      </c>
      <c r="AA39" s="91">
        <f t="shared" si="69"/>
        <v>0</v>
      </c>
      <c r="AB39" s="91">
        <f t="shared" si="69"/>
        <v>0</v>
      </c>
      <c r="AC39" s="91">
        <f t="shared" si="69"/>
        <v>0</v>
      </c>
      <c r="AD39" s="91">
        <f>SUM(AD40:AD41)</f>
        <v>320</v>
      </c>
      <c r="AE39" s="91">
        <f>SUM(AE40:AE41)</f>
        <v>320</v>
      </c>
      <c r="AF39" s="91">
        <f t="shared" si="69"/>
        <v>320</v>
      </c>
      <c r="AG39" s="91">
        <f>SUM(AG40:AG41)</f>
        <v>700</v>
      </c>
      <c r="AH39" s="91">
        <f>SUM(AH40:AH41)</f>
        <v>700</v>
      </c>
      <c r="AI39" s="91">
        <f t="shared" si="69"/>
        <v>350</v>
      </c>
      <c r="AJ39" s="91">
        <f>SUM(AJ40:AJ41)</f>
        <v>0</v>
      </c>
      <c r="AK39" s="91">
        <f>SUM(AK40:AK41)</f>
        <v>0</v>
      </c>
      <c r="AL39" s="91">
        <f t="shared" si="69"/>
        <v>0</v>
      </c>
      <c r="AM39" s="91">
        <f t="shared" si="69"/>
        <v>1020</v>
      </c>
      <c r="AN39" s="91">
        <f t="shared" si="69"/>
        <v>1020</v>
      </c>
      <c r="AO39" s="91">
        <f t="shared" si="69"/>
        <v>670</v>
      </c>
      <c r="AP39" s="91">
        <f t="shared" si="69"/>
        <v>0</v>
      </c>
      <c r="AQ39" s="91">
        <f t="shared" si="69"/>
        <v>0</v>
      </c>
      <c r="AR39" s="91">
        <f t="shared" si="69"/>
        <v>0</v>
      </c>
      <c r="AS39" s="91">
        <f t="shared" si="69"/>
        <v>0</v>
      </c>
      <c r="AT39" s="91">
        <f t="shared" si="69"/>
        <v>0</v>
      </c>
      <c r="AU39" s="91">
        <f t="shared" si="69"/>
        <v>0</v>
      </c>
      <c r="AV39" s="91">
        <f t="shared" si="69"/>
        <v>0</v>
      </c>
      <c r="AW39" s="91">
        <f t="shared" si="69"/>
        <v>0</v>
      </c>
      <c r="AX39" s="91">
        <f t="shared" si="69"/>
        <v>0</v>
      </c>
      <c r="AY39" s="91">
        <f t="shared" si="69"/>
        <v>0</v>
      </c>
      <c r="AZ39" s="91">
        <f t="shared" si="69"/>
        <v>0</v>
      </c>
      <c r="BA39" s="91">
        <f t="shared" ref="BA39:CV39" si="70">SUM(BA40:BA41)</f>
        <v>-631667</v>
      </c>
      <c r="BB39" s="91">
        <f t="shared" si="70"/>
        <v>0</v>
      </c>
      <c r="BC39" s="91">
        <f t="shared" si="70"/>
        <v>0</v>
      </c>
      <c r="BD39" s="91">
        <f t="shared" si="70"/>
        <v>0</v>
      </c>
      <c r="BE39" s="91">
        <f t="shared" si="70"/>
        <v>0</v>
      </c>
      <c r="BF39" s="91">
        <f t="shared" si="70"/>
        <v>0</v>
      </c>
      <c r="BG39" s="91">
        <f t="shared" si="70"/>
        <v>0</v>
      </c>
      <c r="BH39" s="91">
        <f t="shared" si="70"/>
        <v>0</v>
      </c>
      <c r="BI39" s="91">
        <f t="shared" si="70"/>
        <v>0</v>
      </c>
      <c r="BJ39" s="91">
        <f t="shared" si="70"/>
        <v>0</v>
      </c>
      <c r="BK39" s="91">
        <f t="shared" si="70"/>
        <v>0</v>
      </c>
      <c r="BL39" s="91">
        <f t="shared" si="70"/>
        <v>0</v>
      </c>
      <c r="BM39" s="91">
        <f t="shared" si="70"/>
        <v>0</v>
      </c>
      <c r="BN39" s="91">
        <f t="shared" si="70"/>
        <v>0</v>
      </c>
      <c r="BO39" s="91">
        <f t="shared" si="70"/>
        <v>0</v>
      </c>
      <c r="BP39" s="91">
        <f t="shared" si="70"/>
        <v>0</v>
      </c>
      <c r="BQ39" s="92">
        <f>SUM(BQ40:BQ41)</f>
        <v>14490</v>
      </c>
      <c r="BR39" s="91">
        <f>SUM(BR40:BR41)</f>
        <v>14490</v>
      </c>
      <c r="BS39" s="91">
        <f t="shared" si="70"/>
        <v>14490</v>
      </c>
      <c r="BT39" s="91">
        <f t="shared" si="70"/>
        <v>-3061901</v>
      </c>
      <c r="BU39" s="91">
        <f t="shared" si="70"/>
        <v>-3061901</v>
      </c>
      <c r="BV39" s="91">
        <f t="shared" si="70"/>
        <v>-2059373</v>
      </c>
      <c r="BW39" s="91">
        <f t="shared" si="70"/>
        <v>-3047411</v>
      </c>
      <c r="BX39" s="91">
        <f t="shared" si="70"/>
        <v>-3047411</v>
      </c>
      <c r="BY39" s="91">
        <f t="shared" si="70"/>
        <v>-2676550</v>
      </c>
      <c r="BZ39" s="91">
        <f t="shared" si="70"/>
        <v>0</v>
      </c>
      <c r="CA39" s="91">
        <f t="shared" si="70"/>
        <v>0</v>
      </c>
      <c r="CB39" s="91">
        <f t="shared" si="70"/>
        <v>0</v>
      </c>
      <c r="CC39" s="91">
        <f t="shared" si="70"/>
        <v>0</v>
      </c>
      <c r="CD39" s="91">
        <f t="shared" si="70"/>
        <v>0</v>
      </c>
      <c r="CE39" s="91">
        <f t="shared" si="70"/>
        <v>0</v>
      </c>
      <c r="CF39" s="91">
        <f t="shared" si="70"/>
        <v>0</v>
      </c>
      <c r="CG39" s="91">
        <f t="shared" si="70"/>
        <v>0</v>
      </c>
      <c r="CH39" s="91">
        <f t="shared" si="70"/>
        <v>0</v>
      </c>
      <c r="CI39" s="91">
        <f t="shared" si="70"/>
        <v>0</v>
      </c>
      <c r="CJ39" s="91">
        <f t="shared" si="70"/>
        <v>0</v>
      </c>
      <c r="CK39" s="91">
        <f t="shared" si="70"/>
        <v>0</v>
      </c>
      <c r="CL39" s="91">
        <f t="shared" si="70"/>
        <v>0</v>
      </c>
      <c r="CM39" s="91">
        <f t="shared" si="70"/>
        <v>0</v>
      </c>
      <c r="CN39" s="91">
        <f t="shared" si="70"/>
        <v>0</v>
      </c>
      <c r="CO39" s="91">
        <f t="shared" si="70"/>
        <v>0</v>
      </c>
      <c r="CP39" s="91">
        <f t="shared" si="70"/>
        <v>0</v>
      </c>
      <c r="CQ39" s="91">
        <f t="shared" si="70"/>
        <v>0</v>
      </c>
      <c r="CR39" s="91">
        <f t="shared" si="70"/>
        <v>0</v>
      </c>
      <c r="CS39" s="91">
        <f t="shared" si="70"/>
        <v>0</v>
      </c>
      <c r="CT39" s="91">
        <f t="shared" si="70"/>
        <v>0</v>
      </c>
      <c r="CU39" s="91">
        <f t="shared" si="70"/>
        <v>0</v>
      </c>
      <c r="CV39" s="91">
        <f t="shared" si="70"/>
        <v>0</v>
      </c>
      <c r="CW39" s="91">
        <f t="shared" ref="CW39:EG39" si="71">SUM(CW40:CW41)</f>
        <v>0</v>
      </c>
      <c r="CX39" s="91">
        <f t="shared" si="71"/>
        <v>0</v>
      </c>
      <c r="CY39" s="91">
        <f t="shared" si="71"/>
        <v>0</v>
      </c>
      <c r="CZ39" s="91">
        <f t="shared" si="71"/>
        <v>0</v>
      </c>
      <c r="DA39" s="91">
        <f t="shared" si="71"/>
        <v>0</v>
      </c>
      <c r="DB39" s="91">
        <f t="shared" si="71"/>
        <v>0</v>
      </c>
      <c r="DC39" s="91">
        <f t="shared" si="71"/>
        <v>0</v>
      </c>
      <c r="DD39" s="91">
        <f t="shared" si="71"/>
        <v>1710</v>
      </c>
      <c r="DE39" s="91">
        <f>SUM(DE40:DE41)</f>
        <v>1710</v>
      </c>
      <c r="DF39" s="91">
        <f t="shared" si="71"/>
        <v>2000</v>
      </c>
      <c r="DG39" s="92">
        <f>SUM(DG40:DG41)</f>
        <v>800</v>
      </c>
      <c r="DH39" s="91">
        <f>SUM(DH40:DH41)</f>
        <v>800</v>
      </c>
      <c r="DI39" s="91">
        <f t="shared" si="71"/>
        <v>800</v>
      </c>
      <c r="DJ39" s="91">
        <f t="shared" si="71"/>
        <v>483800</v>
      </c>
      <c r="DK39" s="91">
        <f t="shared" si="71"/>
        <v>483800</v>
      </c>
      <c r="DL39" s="91">
        <f t="shared" si="71"/>
        <v>576910</v>
      </c>
      <c r="DM39" s="103">
        <f>SUM(DM40:DM41)</f>
        <v>482800</v>
      </c>
      <c r="DN39" s="91">
        <f>SUM(DN40:DN41)</f>
        <v>482800</v>
      </c>
      <c r="DO39" s="91">
        <f t="shared" si="71"/>
        <v>575910</v>
      </c>
      <c r="DP39" s="92">
        <f>SUM(DP40:DP41)</f>
        <v>1000</v>
      </c>
      <c r="DQ39" s="91">
        <f>SUM(DQ40:DQ41)</f>
        <v>1000</v>
      </c>
      <c r="DR39" s="91">
        <f t="shared" si="71"/>
        <v>1000</v>
      </c>
      <c r="DS39" s="91">
        <f t="shared" si="71"/>
        <v>486310</v>
      </c>
      <c r="DT39" s="91">
        <f t="shared" si="71"/>
        <v>486310</v>
      </c>
      <c r="DU39" s="91">
        <f t="shared" si="71"/>
        <v>579710</v>
      </c>
      <c r="DV39" s="91">
        <f t="shared" si="71"/>
        <v>0</v>
      </c>
      <c r="DW39" s="91">
        <f>SUM(DW40:DW41)</f>
        <v>0</v>
      </c>
      <c r="DX39" s="91">
        <f t="shared" si="71"/>
        <v>0</v>
      </c>
      <c r="DY39" s="91">
        <f t="shared" si="71"/>
        <v>0</v>
      </c>
      <c r="DZ39" s="91">
        <f t="shared" si="71"/>
        <v>0</v>
      </c>
      <c r="EA39" s="91">
        <f t="shared" si="71"/>
        <v>0</v>
      </c>
      <c r="EB39" s="91">
        <f t="shared" si="71"/>
        <v>0</v>
      </c>
      <c r="EC39" s="91">
        <f t="shared" si="71"/>
        <v>0</v>
      </c>
      <c r="ED39" s="91">
        <f t="shared" si="71"/>
        <v>0</v>
      </c>
      <c r="EE39" s="91">
        <f t="shared" si="71"/>
        <v>-2557581</v>
      </c>
      <c r="EF39" s="91">
        <f t="shared" si="71"/>
        <v>-2557661</v>
      </c>
      <c r="EG39" s="91">
        <f t="shared" si="71"/>
        <v>-2092640</v>
      </c>
      <c r="EH39" s="94" t="s">
        <v>120</v>
      </c>
      <c r="ER39" s="59"/>
    </row>
    <row r="40" spans="1:151" ht="14.25" customHeight="1">
      <c r="A40" s="33" t="s">
        <v>121</v>
      </c>
      <c r="B40" s="34" t="s">
        <v>122</v>
      </c>
      <c r="C40" s="87">
        <v>2500</v>
      </c>
      <c r="D40" s="81">
        <f>2500-186</f>
        <v>2314</v>
      </c>
      <c r="E40" s="81">
        <v>3330</v>
      </c>
      <c r="F40" s="104"/>
      <c r="G40" s="81">
        <f>200-94</f>
        <v>106</v>
      </c>
      <c r="H40" s="81">
        <v>200</v>
      </c>
      <c r="I40" s="81">
        <f t="shared" ref="I40:K41" si="72">SUM(C40,F40)</f>
        <v>2500</v>
      </c>
      <c r="J40" s="81">
        <f t="shared" si="72"/>
        <v>2420</v>
      </c>
      <c r="K40" s="81">
        <f t="shared" si="72"/>
        <v>3530</v>
      </c>
      <c r="L40" s="81"/>
      <c r="M40" s="81"/>
      <c r="N40" s="81"/>
      <c r="O40" s="81"/>
      <c r="P40" s="81"/>
      <c r="Q40" s="81"/>
      <c r="R40" s="87">
        <f t="shared" ref="R40:T41" si="73">SUM(L40,O40)</f>
        <v>0</v>
      </c>
      <c r="S40" s="87">
        <f t="shared" si="73"/>
        <v>0</v>
      </c>
      <c r="T40" s="87">
        <f t="shared" si="73"/>
        <v>0</v>
      </c>
      <c r="U40" s="81">
        <v>0</v>
      </c>
      <c r="V40" s="81">
        <v>0</v>
      </c>
      <c r="W40" s="81">
        <v>0</v>
      </c>
      <c r="X40" s="81"/>
      <c r="Y40" s="81"/>
      <c r="Z40" s="81"/>
      <c r="AA40" s="87">
        <f t="shared" ref="AA40:AC41" si="74">U40+X40</f>
        <v>0</v>
      </c>
      <c r="AB40" s="87">
        <f t="shared" si="74"/>
        <v>0</v>
      </c>
      <c r="AC40" s="87">
        <f t="shared" si="74"/>
        <v>0</v>
      </c>
      <c r="AD40" s="87">
        <v>200</v>
      </c>
      <c r="AE40" s="87">
        <v>200</v>
      </c>
      <c r="AF40" s="81">
        <v>200</v>
      </c>
      <c r="AG40" s="81"/>
      <c r="AH40" s="81"/>
      <c r="AI40" s="81"/>
      <c r="AJ40" s="81"/>
      <c r="AK40" s="81"/>
      <c r="AL40" s="81"/>
      <c r="AM40" s="87">
        <f t="shared" ref="AM40:AO41" si="75">AD40+AG40+AJ40</f>
        <v>200</v>
      </c>
      <c r="AN40" s="87">
        <f t="shared" si="75"/>
        <v>200</v>
      </c>
      <c r="AO40" s="87">
        <f t="shared" si="75"/>
        <v>200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>
        <v>-631667</v>
      </c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7">
        <v>1000</v>
      </c>
      <c r="BR40" s="87">
        <v>1000</v>
      </c>
      <c r="BS40" s="81">
        <v>1000</v>
      </c>
      <c r="BT40" s="87">
        <v>-3061901</v>
      </c>
      <c r="BU40" s="87">
        <v>-3061901</v>
      </c>
      <c r="BV40" s="81">
        <f>-2059373</f>
        <v>-2059373</v>
      </c>
      <c r="BW40" s="87">
        <f t="shared" ref="BW40:BY41" si="76">SUM(AP40,AS40,AV40,AY40,BB40,BE40,BH40,BK40,BN40,BQ40,BT40)</f>
        <v>-3060901</v>
      </c>
      <c r="BX40" s="87">
        <f t="shared" si="76"/>
        <v>-3060901</v>
      </c>
      <c r="BY40" s="87">
        <f t="shared" si="76"/>
        <v>-2690040</v>
      </c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>
        <f t="shared" ref="CR40:CT41" si="77">SUM(BZ40,CC40,CF40,CI40,CL40,CO40)</f>
        <v>0</v>
      </c>
      <c r="CS40" s="81">
        <f t="shared" si="77"/>
        <v>0</v>
      </c>
      <c r="CT40" s="81">
        <f t="shared" si="77"/>
        <v>0</v>
      </c>
      <c r="CU40" s="81"/>
      <c r="CV40" s="81"/>
      <c r="CW40" s="81">
        <v>0</v>
      </c>
      <c r="CX40" s="81"/>
      <c r="CY40" s="81"/>
      <c r="CZ40" s="81"/>
      <c r="DA40" s="81"/>
      <c r="DB40" s="81"/>
      <c r="DC40" s="81"/>
      <c r="DD40" s="81"/>
      <c r="DE40" s="95"/>
      <c r="DF40" s="81"/>
      <c r="DG40" s="81">
        <v>800</v>
      </c>
      <c r="DH40" s="81">
        <v>800</v>
      </c>
      <c r="DI40" s="81">
        <v>800</v>
      </c>
      <c r="DJ40" s="81">
        <f t="shared" ref="DJ40:DL41" si="78">SUM(DM40,DP40)</f>
        <v>30000</v>
      </c>
      <c r="DK40" s="81">
        <f t="shared" si="78"/>
        <v>30000</v>
      </c>
      <c r="DL40" s="81">
        <f t="shared" si="78"/>
        <v>41110</v>
      </c>
      <c r="DM40" s="87">
        <f>39000-10000</f>
        <v>29000</v>
      </c>
      <c r="DN40" s="87">
        <v>29000</v>
      </c>
      <c r="DO40" s="81">
        <v>40110</v>
      </c>
      <c r="DP40" s="81">
        <v>1000</v>
      </c>
      <c r="DQ40" s="81">
        <v>1000</v>
      </c>
      <c r="DR40" s="81">
        <v>1000</v>
      </c>
      <c r="DS40" s="81">
        <f t="shared" ref="DS40:DU41" si="79">SUM(CU40,CX40,DA40,DD40,DG40,DJ40)</f>
        <v>30800</v>
      </c>
      <c r="DT40" s="81">
        <f t="shared" si="79"/>
        <v>30800</v>
      </c>
      <c r="DU40" s="81">
        <f t="shared" si="79"/>
        <v>41910</v>
      </c>
      <c r="DV40" s="81">
        <v>0</v>
      </c>
      <c r="DW40" s="81">
        <v>0</v>
      </c>
      <c r="DX40" s="81">
        <v>0</v>
      </c>
      <c r="DY40" s="81">
        <v>0</v>
      </c>
      <c r="DZ40" s="81">
        <v>0</v>
      </c>
      <c r="EA40" s="81">
        <v>0</v>
      </c>
      <c r="EB40" s="81">
        <f t="shared" ref="EB40:ED41" si="80">SUM(DV40,DY40)</f>
        <v>0</v>
      </c>
      <c r="EC40" s="81">
        <f t="shared" si="80"/>
        <v>0</v>
      </c>
      <c r="ED40" s="81">
        <f t="shared" si="80"/>
        <v>0</v>
      </c>
      <c r="EE40" s="87">
        <f t="shared" ref="EE40:EG41" si="81">SUM(I40,R40,AA40,AM40,BW40,CR40,DS40,EB40)</f>
        <v>-3027401</v>
      </c>
      <c r="EF40" s="87">
        <f t="shared" si="81"/>
        <v>-3027481</v>
      </c>
      <c r="EG40" s="87">
        <f t="shared" si="81"/>
        <v>-2644400</v>
      </c>
      <c r="EH40" s="96" t="s">
        <v>122</v>
      </c>
    </row>
    <row r="41" spans="1:151">
      <c r="A41" s="33" t="s">
        <v>123</v>
      </c>
      <c r="B41" s="34" t="s">
        <v>124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f t="shared" si="72"/>
        <v>0</v>
      </c>
      <c r="J41" s="81">
        <f t="shared" si="72"/>
        <v>0</v>
      </c>
      <c r="K41" s="81">
        <f t="shared" si="72"/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7">
        <f t="shared" si="73"/>
        <v>0</v>
      </c>
      <c r="S41" s="87">
        <f t="shared" si="73"/>
        <v>0</v>
      </c>
      <c r="T41" s="87">
        <f t="shared" si="73"/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7">
        <f t="shared" si="74"/>
        <v>0</v>
      </c>
      <c r="AB41" s="87">
        <f t="shared" si="74"/>
        <v>0</v>
      </c>
      <c r="AC41" s="87">
        <f t="shared" si="74"/>
        <v>0</v>
      </c>
      <c r="AD41" s="87">
        <v>120</v>
      </c>
      <c r="AE41" s="87">
        <v>120</v>
      </c>
      <c r="AF41" s="81">
        <v>120</v>
      </c>
      <c r="AG41" s="81">
        <v>700</v>
      </c>
      <c r="AH41" s="81">
        <v>700</v>
      </c>
      <c r="AI41" s="81">
        <v>350</v>
      </c>
      <c r="AJ41" s="81">
        <v>0</v>
      </c>
      <c r="AK41" s="81">
        <v>0</v>
      </c>
      <c r="AL41" s="81">
        <v>0</v>
      </c>
      <c r="AM41" s="87">
        <f t="shared" si="75"/>
        <v>820</v>
      </c>
      <c r="AN41" s="87">
        <f t="shared" si="75"/>
        <v>820</v>
      </c>
      <c r="AO41" s="87">
        <f t="shared" si="75"/>
        <v>470</v>
      </c>
      <c r="AP41" s="81">
        <v>0</v>
      </c>
      <c r="AQ41" s="81">
        <v>0</v>
      </c>
      <c r="AR41" s="81">
        <v>0</v>
      </c>
      <c r="AS41" s="81">
        <v>0</v>
      </c>
      <c r="AT41" s="81"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v>0</v>
      </c>
      <c r="BA41" s="81"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  <c r="BG41" s="81">
        <v>0</v>
      </c>
      <c r="BH41" s="81">
        <v>0</v>
      </c>
      <c r="BI41" s="81">
        <v>0</v>
      </c>
      <c r="BJ41" s="81">
        <v>0</v>
      </c>
      <c r="BK41" s="81">
        <v>0</v>
      </c>
      <c r="BL41" s="81">
        <v>0</v>
      </c>
      <c r="BM41" s="81">
        <v>0</v>
      </c>
      <c r="BN41" s="81">
        <v>0</v>
      </c>
      <c r="BO41" s="81">
        <v>0</v>
      </c>
      <c r="BP41" s="81">
        <v>0</v>
      </c>
      <c r="BQ41" s="87">
        <v>13490</v>
      </c>
      <c r="BR41" s="87">
        <v>13490</v>
      </c>
      <c r="BS41" s="81">
        <v>13490</v>
      </c>
      <c r="BT41" s="81">
        <v>0</v>
      </c>
      <c r="BU41" s="81">
        <v>0</v>
      </c>
      <c r="BV41" s="81">
        <v>0</v>
      </c>
      <c r="BW41" s="87">
        <f t="shared" si="76"/>
        <v>13490</v>
      </c>
      <c r="BX41" s="87">
        <f t="shared" si="76"/>
        <v>13490</v>
      </c>
      <c r="BY41" s="87">
        <f t="shared" si="76"/>
        <v>13490</v>
      </c>
      <c r="BZ41" s="81">
        <v>0</v>
      </c>
      <c r="CA41" s="81">
        <v>0</v>
      </c>
      <c r="CB41" s="81">
        <v>0</v>
      </c>
      <c r="CC41" s="81">
        <v>0</v>
      </c>
      <c r="CD41" s="81">
        <v>0</v>
      </c>
      <c r="CE41" s="81">
        <v>0</v>
      </c>
      <c r="CF41" s="81">
        <v>0</v>
      </c>
      <c r="CG41" s="81">
        <v>0</v>
      </c>
      <c r="CH41" s="81">
        <v>0</v>
      </c>
      <c r="CI41" s="81">
        <v>0</v>
      </c>
      <c r="CJ41" s="81">
        <v>0</v>
      </c>
      <c r="CK41" s="81">
        <v>0</v>
      </c>
      <c r="CL41" s="81">
        <v>0</v>
      </c>
      <c r="CM41" s="81">
        <v>0</v>
      </c>
      <c r="CN41" s="81">
        <v>0</v>
      </c>
      <c r="CO41" s="81">
        <v>0</v>
      </c>
      <c r="CP41" s="81">
        <v>0</v>
      </c>
      <c r="CQ41" s="81">
        <v>0</v>
      </c>
      <c r="CR41" s="81">
        <f t="shared" si="77"/>
        <v>0</v>
      </c>
      <c r="CS41" s="81">
        <f t="shared" si="77"/>
        <v>0</v>
      </c>
      <c r="CT41" s="81">
        <f t="shared" si="77"/>
        <v>0</v>
      </c>
      <c r="CU41" s="81">
        <v>0</v>
      </c>
      <c r="CV41" s="81">
        <v>0</v>
      </c>
      <c r="CW41" s="81">
        <v>0</v>
      </c>
      <c r="CX41" s="81">
        <v>0</v>
      </c>
      <c r="CY41" s="81">
        <v>0</v>
      </c>
      <c r="CZ41" s="81">
        <v>0</v>
      </c>
      <c r="DA41" s="81">
        <v>0</v>
      </c>
      <c r="DB41" s="81">
        <v>0</v>
      </c>
      <c r="DC41" s="81">
        <v>0</v>
      </c>
      <c r="DD41" s="81">
        <v>1710</v>
      </c>
      <c r="DE41" s="87">
        <v>1710</v>
      </c>
      <c r="DF41" s="81">
        <v>2000</v>
      </c>
      <c r="DG41" s="81">
        <v>0</v>
      </c>
      <c r="DH41" s="81">
        <v>0</v>
      </c>
      <c r="DI41" s="81">
        <v>0</v>
      </c>
      <c r="DJ41" s="81">
        <f t="shared" si="78"/>
        <v>453800</v>
      </c>
      <c r="DK41" s="81">
        <f t="shared" si="78"/>
        <v>453800</v>
      </c>
      <c r="DL41" s="81">
        <f t="shared" si="78"/>
        <v>535800</v>
      </c>
      <c r="DM41" s="87">
        <v>453800</v>
      </c>
      <c r="DN41" s="87">
        <v>453800</v>
      </c>
      <c r="DO41" s="81">
        <v>535800</v>
      </c>
      <c r="DP41" s="81">
        <v>0</v>
      </c>
      <c r="DQ41" s="81">
        <v>0</v>
      </c>
      <c r="DR41" s="81">
        <v>0</v>
      </c>
      <c r="DS41" s="81">
        <f t="shared" si="79"/>
        <v>455510</v>
      </c>
      <c r="DT41" s="81">
        <f t="shared" si="79"/>
        <v>455510</v>
      </c>
      <c r="DU41" s="81">
        <f t="shared" si="79"/>
        <v>537800</v>
      </c>
      <c r="DV41" s="81">
        <v>0</v>
      </c>
      <c r="DW41" s="81">
        <v>0</v>
      </c>
      <c r="DX41" s="81">
        <v>0</v>
      </c>
      <c r="DY41" s="81">
        <v>0</v>
      </c>
      <c r="DZ41" s="81">
        <v>0</v>
      </c>
      <c r="EA41" s="81">
        <v>0</v>
      </c>
      <c r="EB41" s="81">
        <f t="shared" si="80"/>
        <v>0</v>
      </c>
      <c r="EC41" s="81">
        <f t="shared" si="80"/>
        <v>0</v>
      </c>
      <c r="ED41" s="81">
        <f t="shared" si="80"/>
        <v>0</v>
      </c>
      <c r="EE41" s="87">
        <f t="shared" si="81"/>
        <v>469820</v>
      </c>
      <c r="EF41" s="87">
        <f t="shared" si="81"/>
        <v>469820</v>
      </c>
      <c r="EG41" s="87">
        <f t="shared" si="81"/>
        <v>551760</v>
      </c>
      <c r="EH41" s="96" t="s">
        <v>124</v>
      </c>
    </row>
    <row r="42" spans="1:151" s="32" customFormat="1">
      <c r="A42" s="39" t="s">
        <v>237</v>
      </c>
      <c r="B42" s="25" t="s">
        <v>238</v>
      </c>
      <c r="C42" s="85">
        <f>SUM(C43:C44)</f>
        <v>0</v>
      </c>
      <c r="D42" s="85">
        <f>SUM(D43:D44)</f>
        <v>0</v>
      </c>
      <c r="E42" s="85">
        <f t="shared" ref="E42:AX42" si="82">SUM(E43:E44)</f>
        <v>0</v>
      </c>
      <c r="F42" s="85">
        <f>SUM(F43:F44)</f>
        <v>0</v>
      </c>
      <c r="G42" s="85">
        <f>SUM(G43:G44)</f>
        <v>0</v>
      </c>
      <c r="H42" s="85">
        <f t="shared" si="82"/>
        <v>0</v>
      </c>
      <c r="I42" s="85">
        <f t="shared" si="82"/>
        <v>0</v>
      </c>
      <c r="J42" s="85">
        <f t="shared" si="82"/>
        <v>0</v>
      </c>
      <c r="K42" s="85">
        <f t="shared" si="82"/>
        <v>0</v>
      </c>
      <c r="L42" s="85">
        <f>SUM(L43:L44)</f>
        <v>0</v>
      </c>
      <c r="M42" s="85">
        <f>SUM(M43:M44)</f>
        <v>0</v>
      </c>
      <c r="N42" s="85">
        <f t="shared" si="82"/>
        <v>0</v>
      </c>
      <c r="O42" s="85">
        <f t="shared" si="82"/>
        <v>0</v>
      </c>
      <c r="P42" s="85">
        <f t="shared" si="82"/>
        <v>0</v>
      </c>
      <c r="Q42" s="85">
        <f t="shared" si="82"/>
        <v>0</v>
      </c>
      <c r="R42" s="85">
        <f t="shared" si="82"/>
        <v>0</v>
      </c>
      <c r="S42" s="85">
        <f t="shared" si="82"/>
        <v>0</v>
      </c>
      <c r="T42" s="85">
        <f t="shared" si="82"/>
        <v>0</v>
      </c>
      <c r="U42" s="85">
        <f>SUM(U43:U44)</f>
        <v>0</v>
      </c>
      <c r="V42" s="85">
        <f>SUM(V43:V44)</f>
        <v>0</v>
      </c>
      <c r="W42" s="85">
        <f t="shared" si="82"/>
        <v>0</v>
      </c>
      <c r="X42" s="85">
        <f>SUM(X43:X44)</f>
        <v>0</v>
      </c>
      <c r="Y42" s="85">
        <f>SUM(Y43:Y44)</f>
        <v>0</v>
      </c>
      <c r="Z42" s="85">
        <f t="shared" si="82"/>
        <v>0</v>
      </c>
      <c r="AA42" s="85">
        <f t="shared" si="82"/>
        <v>0</v>
      </c>
      <c r="AB42" s="85">
        <f t="shared" si="82"/>
        <v>0</v>
      </c>
      <c r="AC42" s="85">
        <f t="shared" si="82"/>
        <v>0</v>
      </c>
      <c r="AD42" s="85">
        <f>SUM(AD43:AD44)</f>
        <v>0</v>
      </c>
      <c r="AE42" s="85">
        <f>SUM(AE43:AE44)</f>
        <v>0</v>
      </c>
      <c r="AF42" s="85">
        <f t="shared" si="82"/>
        <v>0</v>
      </c>
      <c r="AG42" s="85">
        <f>SUM(AG43:AG44)</f>
        <v>0</v>
      </c>
      <c r="AH42" s="85">
        <f>SUM(AH43:AH44)</f>
        <v>0</v>
      </c>
      <c r="AI42" s="85">
        <f t="shared" si="82"/>
        <v>0</v>
      </c>
      <c r="AJ42" s="85">
        <f>SUM(AJ43:AJ44)</f>
        <v>0</v>
      </c>
      <c r="AK42" s="85">
        <f>SUM(AK43:AK44)</f>
        <v>0</v>
      </c>
      <c r="AL42" s="85">
        <f t="shared" si="82"/>
        <v>0</v>
      </c>
      <c r="AM42" s="85">
        <f t="shared" si="82"/>
        <v>0</v>
      </c>
      <c r="AN42" s="85">
        <f t="shared" si="82"/>
        <v>0</v>
      </c>
      <c r="AO42" s="85">
        <f t="shared" si="82"/>
        <v>0</v>
      </c>
      <c r="AP42" s="85">
        <f t="shared" si="82"/>
        <v>0</v>
      </c>
      <c r="AQ42" s="85">
        <f t="shared" si="82"/>
        <v>0</v>
      </c>
      <c r="AR42" s="85">
        <f t="shared" si="82"/>
        <v>0</v>
      </c>
      <c r="AS42" s="85">
        <f>SUM(AS43:AS44)</f>
        <v>0</v>
      </c>
      <c r="AT42" s="85">
        <f>SUM(AT43:AT44)</f>
        <v>0</v>
      </c>
      <c r="AU42" s="85">
        <f t="shared" si="82"/>
        <v>0</v>
      </c>
      <c r="AV42" s="85">
        <f>SUM(AV43:AV44)</f>
        <v>0</v>
      </c>
      <c r="AW42" s="85">
        <f>SUM(AW43:AW44)</f>
        <v>0</v>
      </c>
      <c r="AX42" s="85">
        <f t="shared" si="82"/>
        <v>0</v>
      </c>
      <c r="AY42" s="85">
        <f>SUM(AY43:AY44)</f>
        <v>0</v>
      </c>
      <c r="AZ42" s="85">
        <f>SUM(AZ43:AZ44)</f>
        <v>0</v>
      </c>
      <c r="BA42" s="85">
        <f t="shared" ref="BA42:CV42" si="83">SUM(BA43:BA44)</f>
        <v>0</v>
      </c>
      <c r="BB42" s="85">
        <f>SUM(BB43:BB44)</f>
        <v>0</v>
      </c>
      <c r="BC42" s="85">
        <f>SUM(BC43:BC44)</f>
        <v>0</v>
      </c>
      <c r="BD42" s="85">
        <f t="shared" si="83"/>
        <v>0</v>
      </c>
      <c r="BE42" s="85">
        <f>SUM(BE43:BE44)</f>
        <v>0</v>
      </c>
      <c r="BF42" s="85">
        <f>SUM(BF43:BF44)</f>
        <v>0</v>
      </c>
      <c r="BG42" s="85">
        <f t="shared" si="83"/>
        <v>0</v>
      </c>
      <c r="BH42" s="85">
        <f t="shared" si="83"/>
        <v>0</v>
      </c>
      <c r="BI42" s="85">
        <f t="shared" si="83"/>
        <v>0</v>
      </c>
      <c r="BJ42" s="85">
        <f t="shared" si="83"/>
        <v>0</v>
      </c>
      <c r="BK42" s="85">
        <f t="shared" si="83"/>
        <v>0</v>
      </c>
      <c r="BL42" s="85">
        <f t="shared" si="83"/>
        <v>0</v>
      </c>
      <c r="BM42" s="85">
        <f t="shared" si="83"/>
        <v>0</v>
      </c>
      <c r="BN42" s="85">
        <f t="shared" si="83"/>
        <v>0</v>
      </c>
      <c r="BO42" s="85">
        <f t="shared" si="83"/>
        <v>0</v>
      </c>
      <c r="BP42" s="85">
        <f t="shared" si="83"/>
        <v>0</v>
      </c>
      <c r="BQ42" s="85">
        <f t="shared" si="83"/>
        <v>0</v>
      </c>
      <c r="BR42" s="85">
        <f t="shared" si="83"/>
        <v>0</v>
      </c>
      <c r="BS42" s="85">
        <f t="shared" si="83"/>
        <v>0</v>
      </c>
      <c r="BT42" s="85">
        <f t="shared" si="83"/>
        <v>0</v>
      </c>
      <c r="BU42" s="85">
        <f t="shared" si="83"/>
        <v>0</v>
      </c>
      <c r="BV42" s="85">
        <f t="shared" si="83"/>
        <v>0</v>
      </c>
      <c r="BW42" s="85">
        <f t="shared" si="83"/>
        <v>0</v>
      </c>
      <c r="BX42" s="85">
        <f t="shared" si="83"/>
        <v>0</v>
      </c>
      <c r="BY42" s="85">
        <f t="shared" si="83"/>
        <v>0</v>
      </c>
      <c r="BZ42" s="85">
        <f t="shared" si="83"/>
        <v>0</v>
      </c>
      <c r="CA42" s="85">
        <f t="shared" si="83"/>
        <v>0</v>
      </c>
      <c r="CB42" s="85">
        <f t="shared" si="83"/>
        <v>0</v>
      </c>
      <c r="CC42" s="85">
        <f t="shared" si="83"/>
        <v>0</v>
      </c>
      <c r="CD42" s="85">
        <f t="shared" si="83"/>
        <v>0</v>
      </c>
      <c r="CE42" s="85">
        <f t="shared" si="83"/>
        <v>0</v>
      </c>
      <c r="CF42" s="85">
        <f t="shared" si="83"/>
        <v>0</v>
      </c>
      <c r="CG42" s="85">
        <f t="shared" si="83"/>
        <v>0</v>
      </c>
      <c r="CH42" s="85">
        <f t="shared" si="83"/>
        <v>0</v>
      </c>
      <c r="CI42" s="85">
        <f t="shared" si="83"/>
        <v>0</v>
      </c>
      <c r="CJ42" s="85">
        <f t="shared" si="83"/>
        <v>0</v>
      </c>
      <c r="CK42" s="85">
        <f t="shared" si="83"/>
        <v>0</v>
      </c>
      <c r="CL42" s="85">
        <f t="shared" si="83"/>
        <v>0</v>
      </c>
      <c r="CM42" s="85">
        <f t="shared" si="83"/>
        <v>0</v>
      </c>
      <c r="CN42" s="85">
        <f t="shared" si="83"/>
        <v>0</v>
      </c>
      <c r="CO42" s="85">
        <f t="shared" si="83"/>
        <v>0</v>
      </c>
      <c r="CP42" s="85">
        <f t="shared" si="83"/>
        <v>0</v>
      </c>
      <c r="CQ42" s="85">
        <f t="shared" si="83"/>
        <v>0</v>
      </c>
      <c r="CR42" s="85">
        <f t="shared" si="83"/>
        <v>0</v>
      </c>
      <c r="CS42" s="85">
        <f t="shared" si="83"/>
        <v>0</v>
      </c>
      <c r="CT42" s="85">
        <f t="shared" si="83"/>
        <v>0</v>
      </c>
      <c r="CU42" s="85">
        <f t="shared" si="83"/>
        <v>0</v>
      </c>
      <c r="CV42" s="85">
        <f t="shared" si="83"/>
        <v>0</v>
      </c>
      <c r="CW42" s="85">
        <f t="shared" ref="CW42:EG42" si="84">SUM(CW43:CW44)</f>
        <v>0</v>
      </c>
      <c r="CX42" s="85">
        <f t="shared" si="84"/>
        <v>0</v>
      </c>
      <c r="CY42" s="85">
        <f t="shared" si="84"/>
        <v>0</v>
      </c>
      <c r="CZ42" s="85">
        <f t="shared" si="84"/>
        <v>0</v>
      </c>
      <c r="DA42" s="85">
        <f t="shared" si="84"/>
        <v>0</v>
      </c>
      <c r="DB42" s="85">
        <f t="shared" si="84"/>
        <v>0</v>
      </c>
      <c r="DC42" s="85">
        <f t="shared" si="84"/>
        <v>0</v>
      </c>
      <c r="DD42" s="85">
        <f t="shared" si="84"/>
        <v>0</v>
      </c>
      <c r="DE42" s="85">
        <f t="shared" si="84"/>
        <v>0</v>
      </c>
      <c r="DF42" s="85">
        <f t="shared" si="84"/>
        <v>0</v>
      </c>
      <c r="DG42" s="85">
        <f t="shared" si="84"/>
        <v>0</v>
      </c>
      <c r="DH42" s="85">
        <f t="shared" si="84"/>
        <v>0</v>
      </c>
      <c r="DI42" s="85">
        <f t="shared" si="84"/>
        <v>0</v>
      </c>
      <c r="DJ42" s="85">
        <f t="shared" si="84"/>
        <v>0</v>
      </c>
      <c r="DK42" s="85">
        <f t="shared" si="84"/>
        <v>0</v>
      </c>
      <c r="DL42" s="85">
        <f t="shared" si="84"/>
        <v>0</v>
      </c>
      <c r="DM42" s="85">
        <f>SUM(DM43:DM44)</f>
        <v>0</v>
      </c>
      <c r="DN42" s="85">
        <f>SUM(DN43:DN44)</f>
        <v>0</v>
      </c>
      <c r="DO42" s="85">
        <f t="shared" si="84"/>
        <v>0</v>
      </c>
      <c r="DP42" s="85">
        <f>SUM(DP43:DP44)</f>
        <v>0</v>
      </c>
      <c r="DQ42" s="85">
        <f>SUM(DQ43:DQ44)</f>
        <v>0</v>
      </c>
      <c r="DR42" s="85">
        <f t="shared" si="84"/>
        <v>0</v>
      </c>
      <c r="DS42" s="85">
        <f t="shared" si="84"/>
        <v>0</v>
      </c>
      <c r="DT42" s="85">
        <f t="shared" si="84"/>
        <v>0</v>
      </c>
      <c r="DU42" s="85">
        <f t="shared" si="84"/>
        <v>0</v>
      </c>
      <c r="DV42" s="80">
        <f>SUM(DV43:DV44)</f>
        <v>285000</v>
      </c>
      <c r="DW42" s="85">
        <f>SUM(DW43:DW44)</f>
        <v>285000</v>
      </c>
      <c r="DX42" s="85">
        <f t="shared" si="84"/>
        <v>574700</v>
      </c>
      <c r="DY42" s="85">
        <f t="shared" si="84"/>
        <v>0</v>
      </c>
      <c r="DZ42" s="85">
        <f t="shared" si="84"/>
        <v>0</v>
      </c>
      <c r="EA42" s="85">
        <f t="shared" si="84"/>
        <v>0</v>
      </c>
      <c r="EB42" s="85">
        <f t="shared" si="84"/>
        <v>285000</v>
      </c>
      <c r="EC42" s="85">
        <f t="shared" si="84"/>
        <v>285000</v>
      </c>
      <c r="ED42" s="85">
        <f t="shared" si="84"/>
        <v>574700</v>
      </c>
      <c r="EE42" s="85">
        <f t="shared" si="84"/>
        <v>285000</v>
      </c>
      <c r="EF42" s="85">
        <f t="shared" si="84"/>
        <v>285000</v>
      </c>
      <c r="EG42" s="85">
        <f t="shared" si="84"/>
        <v>574700</v>
      </c>
      <c r="EH42" s="94" t="s">
        <v>238</v>
      </c>
    </row>
    <row r="43" spans="1:151">
      <c r="A43" s="33" t="s">
        <v>239</v>
      </c>
      <c r="B43" s="34" t="s">
        <v>240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f t="shared" ref="I43:K45" si="85">SUM(C43,F43)</f>
        <v>0</v>
      </c>
      <c r="J43" s="81">
        <f t="shared" si="85"/>
        <v>0</v>
      </c>
      <c r="K43" s="81">
        <f t="shared" si="85"/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7">
        <f t="shared" ref="R43:T45" si="86">SUM(L43,O43)</f>
        <v>0</v>
      </c>
      <c r="S43" s="87">
        <f t="shared" si="86"/>
        <v>0</v>
      </c>
      <c r="T43" s="87">
        <f t="shared" si="86"/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7">
        <f t="shared" ref="AA43:AC45" si="87">U43+X43</f>
        <v>0</v>
      </c>
      <c r="AB43" s="87">
        <f t="shared" si="87"/>
        <v>0</v>
      </c>
      <c r="AC43" s="87">
        <f t="shared" si="87"/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7">
        <f t="shared" ref="AM43:AO45" si="88">AD43+AG43+AJ43</f>
        <v>0</v>
      </c>
      <c r="AN43" s="87">
        <f t="shared" si="88"/>
        <v>0</v>
      </c>
      <c r="AO43" s="87">
        <f t="shared" si="88"/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  <c r="BG43" s="81">
        <v>0</v>
      </c>
      <c r="BH43" s="81">
        <v>0</v>
      </c>
      <c r="BI43" s="81">
        <v>0</v>
      </c>
      <c r="BJ43" s="81">
        <v>0</v>
      </c>
      <c r="BK43" s="81">
        <v>0</v>
      </c>
      <c r="BL43" s="81">
        <v>0</v>
      </c>
      <c r="BM43" s="81">
        <v>0</v>
      </c>
      <c r="BN43" s="81">
        <v>0</v>
      </c>
      <c r="BO43" s="81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1">
        <v>0</v>
      </c>
      <c r="BV43" s="81">
        <v>0</v>
      </c>
      <c r="BW43" s="87">
        <f t="shared" ref="BW43:BY45" si="89">SUM(AP43,AS43,AV43,AY43,BB43,BE43,BH43,BK43,BN43,BQ43,BT43)</f>
        <v>0</v>
      </c>
      <c r="BX43" s="87">
        <f t="shared" si="89"/>
        <v>0</v>
      </c>
      <c r="BY43" s="87">
        <f t="shared" si="89"/>
        <v>0</v>
      </c>
      <c r="BZ43" s="81">
        <v>0</v>
      </c>
      <c r="CA43" s="81">
        <v>0</v>
      </c>
      <c r="CB43" s="81">
        <v>0</v>
      </c>
      <c r="CC43" s="81">
        <v>0</v>
      </c>
      <c r="CD43" s="81">
        <v>0</v>
      </c>
      <c r="CE43" s="81">
        <v>0</v>
      </c>
      <c r="CF43" s="81">
        <v>0</v>
      </c>
      <c r="CG43" s="81">
        <v>0</v>
      </c>
      <c r="CH43" s="81">
        <v>0</v>
      </c>
      <c r="CI43" s="81">
        <v>0</v>
      </c>
      <c r="CJ43" s="81">
        <v>0</v>
      </c>
      <c r="CK43" s="81">
        <v>0</v>
      </c>
      <c r="CL43" s="81">
        <v>0</v>
      </c>
      <c r="CM43" s="81">
        <v>0</v>
      </c>
      <c r="CN43" s="81">
        <v>0</v>
      </c>
      <c r="CO43" s="81">
        <v>0</v>
      </c>
      <c r="CP43" s="81">
        <v>0</v>
      </c>
      <c r="CQ43" s="81">
        <v>0</v>
      </c>
      <c r="CR43" s="81">
        <f t="shared" ref="CR43:CT45" si="90">SUM(BZ43,CC43,CF43,CI43,CL43,CO43)</f>
        <v>0</v>
      </c>
      <c r="CS43" s="81">
        <f t="shared" si="90"/>
        <v>0</v>
      </c>
      <c r="CT43" s="81">
        <f t="shared" si="90"/>
        <v>0</v>
      </c>
      <c r="CU43" s="81">
        <v>0</v>
      </c>
      <c r="CV43" s="81">
        <v>0</v>
      </c>
      <c r="CW43" s="81">
        <v>0</v>
      </c>
      <c r="CX43" s="81">
        <v>0</v>
      </c>
      <c r="CY43" s="81">
        <v>0</v>
      </c>
      <c r="CZ43" s="81">
        <v>0</v>
      </c>
      <c r="DA43" s="81">
        <v>0</v>
      </c>
      <c r="DB43" s="81">
        <v>0</v>
      </c>
      <c r="DC43" s="81">
        <v>0</v>
      </c>
      <c r="DD43" s="81">
        <v>0</v>
      </c>
      <c r="DE43" s="81">
        <v>0</v>
      </c>
      <c r="DF43" s="81">
        <v>0</v>
      </c>
      <c r="DG43" s="81">
        <v>0</v>
      </c>
      <c r="DH43" s="81">
        <v>0</v>
      </c>
      <c r="DI43" s="81">
        <v>0</v>
      </c>
      <c r="DJ43" s="81">
        <f t="shared" ref="DJ43:DL45" si="91">SUM(DM43,DP43)</f>
        <v>0</v>
      </c>
      <c r="DK43" s="81">
        <f t="shared" si="91"/>
        <v>0</v>
      </c>
      <c r="DL43" s="81">
        <f t="shared" si="91"/>
        <v>0</v>
      </c>
      <c r="DM43" s="81">
        <v>0</v>
      </c>
      <c r="DN43" s="81">
        <v>0</v>
      </c>
      <c r="DO43" s="81">
        <v>0</v>
      </c>
      <c r="DP43" s="81">
        <v>0</v>
      </c>
      <c r="DQ43" s="81">
        <v>0</v>
      </c>
      <c r="DR43" s="81">
        <v>0</v>
      </c>
      <c r="DS43" s="81">
        <f t="shared" ref="DS43:DU45" si="92">SUM(CU43,CX43,DA43,DD43,DG43,DJ43)</f>
        <v>0</v>
      </c>
      <c r="DT43" s="81">
        <f t="shared" si="92"/>
        <v>0</v>
      </c>
      <c r="DU43" s="81">
        <f t="shared" si="92"/>
        <v>0</v>
      </c>
      <c r="DV43" s="87">
        <v>90000</v>
      </c>
      <c r="DW43" s="81">
        <v>90000</v>
      </c>
      <c r="DX43" s="81">
        <f>5000+43500</f>
        <v>48500</v>
      </c>
      <c r="DY43" s="81">
        <v>0</v>
      </c>
      <c r="DZ43" s="81">
        <v>0</v>
      </c>
      <c r="EA43" s="81">
        <v>0</v>
      </c>
      <c r="EB43" s="81">
        <f t="shared" ref="EB43:ED44" si="93">SUM(DV43,DY43)</f>
        <v>90000</v>
      </c>
      <c r="EC43" s="81">
        <f t="shared" si="93"/>
        <v>90000</v>
      </c>
      <c r="ED43" s="81">
        <f t="shared" si="93"/>
        <v>48500</v>
      </c>
      <c r="EE43" s="87">
        <f t="shared" ref="EE43:EG45" si="94">SUM(I43,R43,AA43,AM43,BW43,CR43,DS43,EB43)</f>
        <v>90000</v>
      </c>
      <c r="EF43" s="87">
        <f t="shared" si="94"/>
        <v>90000</v>
      </c>
      <c r="EG43" s="87">
        <f t="shared" si="94"/>
        <v>48500</v>
      </c>
      <c r="EH43" s="96" t="s">
        <v>240</v>
      </c>
    </row>
    <row r="44" spans="1:151">
      <c r="A44" s="33" t="s">
        <v>241</v>
      </c>
      <c r="B44" s="34" t="s">
        <v>242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f t="shared" si="85"/>
        <v>0</v>
      </c>
      <c r="J44" s="81">
        <f t="shared" si="85"/>
        <v>0</v>
      </c>
      <c r="K44" s="81">
        <f t="shared" si="85"/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7">
        <f t="shared" si="86"/>
        <v>0</v>
      </c>
      <c r="S44" s="87">
        <f t="shared" si="86"/>
        <v>0</v>
      </c>
      <c r="T44" s="87">
        <f t="shared" si="86"/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7">
        <f t="shared" si="87"/>
        <v>0</v>
      </c>
      <c r="AB44" s="87">
        <f t="shared" si="87"/>
        <v>0</v>
      </c>
      <c r="AC44" s="87">
        <f t="shared" si="87"/>
        <v>0</v>
      </c>
      <c r="AD44" s="81">
        <v>0</v>
      </c>
      <c r="AE44" s="81">
        <v>0</v>
      </c>
      <c r="AF44" s="81">
        <v>0</v>
      </c>
      <c r="AG44" s="81">
        <v>0</v>
      </c>
      <c r="AH44" s="81">
        <v>0</v>
      </c>
      <c r="AI44" s="81">
        <v>0</v>
      </c>
      <c r="AJ44" s="81">
        <v>0</v>
      </c>
      <c r="AK44" s="81">
        <v>0</v>
      </c>
      <c r="AL44" s="81">
        <v>0</v>
      </c>
      <c r="AM44" s="87">
        <f t="shared" si="88"/>
        <v>0</v>
      </c>
      <c r="AN44" s="87">
        <f t="shared" si="88"/>
        <v>0</v>
      </c>
      <c r="AO44" s="87">
        <f t="shared" si="88"/>
        <v>0</v>
      </c>
      <c r="AP44" s="81">
        <v>0</v>
      </c>
      <c r="AQ44" s="81">
        <v>0</v>
      </c>
      <c r="AR44" s="81">
        <v>0</v>
      </c>
      <c r="AS44" s="81">
        <v>0</v>
      </c>
      <c r="AT44" s="81"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v>0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  <c r="BG44" s="81">
        <v>0</v>
      </c>
      <c r="BH44" s="81">
        <v>0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>
        <v>0</v>
      </c>
      <c r="BO44" s="81">
        <v>0</v>
      </c>
      <c r="BP44" s="81">
        <v>0</v>
      </c>
      <c r="BQ44" s="81">
        <v>0</v>
      </c>
      <c r="BR44" s="81">
        <v>0</v>
      </c>
      <c r="BS44" s="81">
        <v>0</v>
      </c>
      <c r="BT44" s="81">
        <v>0</v>
      </c>
      <c r="BU44" s="81">
        <v>0</v>
      </c>
      <c r="BV44" s="81">
        <v>0</v>
      </c>
      <c r="BW44" s="87">
        <f t="shared" si="89"/>
        <v>0</v>
      </c>
      <c r="BX44" s="87">
        <f t="shared" si="89"/>
        <v>0</v>
      </c>
      <c r="BY44" s="87">
        <f t="shared" si="89"/>
        <v>0</v>
      </c>
      <c r="BZ44" s="81">
        <v>0</v>
      </c>
      <c r="CA44" s="81">
        <v>0</v>
      </c>
      <c r="CB44" s="81">
        <v>0</v>
      </c>
      <c r="CC44" s="81">
        <v>0</v>
      </c>
      <c r="CD44" s="81">
        <v>0</v>
      </c>
      <c r="CE44" s="81">
        <v>0</v>
      </c>
      <c r="CF44" s="81">
        <v>0</v>
      </c>
      <c r="CG44" s="81">
        <v>0</v>
      </c>
      <c r="CH44" s="81">
        <v>0</v>
      </c>
      <c r="CI44" s="81">
        <v>0</v>
      </c>
      <c r="CJ44" s="81">
        <v>0</v>
      </c>
      <c r="CK44" s="81">
        <v>0</v>
      </c>
      <c r="CL44" s="81">
        <v>0</v>
      </c>
      <c r="CM44" s="81">
        <v>0</v>
      </c>
      <c r="CN44" s="81">
        <v>0</v>
      </c>
      <c r="CO44" s="81">
        <v>0</v>
      </c>
      <c r="CP44" s="81">
        <v>0</v>
      </c>
      <c r="CQ44" s="81">
        <v>0</v>
      </c>
      <c r="CR44" s="81">
        <f t="shared" si="90"/>
        <v>0</v>
      </c>
      <c r="CS44" s="81">
        <f t="shared" si="90"/>
        <v>0</v>
      </c>
      <c r="CT44" s="81">
        <f t="shared" si="90"/>
        <v>0</v>
      </c>
      <c r="CU44" s="81">
        <v>0</v>
      </c>
      <c r="CV44" s="81">
        <v>0</v>
      </c>
      <c r="CW44" s="81">
        <v>0</v>
      </c>
      <c r="CX44" s="81">
        <v>0</v>
      </c>
      <c r="CY44" s="81">
        <v>0</v>
      </c>
      <c r="CZ44" s="81">
        <v>0</v>
      </c>
      <c r="DA44" s="81">
        <v>0</v>
      </c>
      <c r="DB44" s="81">
        <v>0</v>
      </c>
      <c r="DC44" s="81">
        <v>0</v>
      </c>
      <c r="DD44" s="81">
        <v>0</v>
      </c>
      <c r="DE44" s="81">
        <v>0</v>
      </c>
      <c r="DF44" s="81">
        <v>0</v>
      </c>
      <c r="DG44" s="81">
        <v>0</v>
      </c>
      <c r="DH44" s="81">
        <v>0</v>
      </c>
      <c r="DI44" s="81">
        <v>0</v>
      </c>
      <c r="DJ44" s="81">
        <f t="shared" si="91"/>
        <v>0</v>
      </c>
      <c r="DK44" s="81">
        <f t="shared" si="91"/>
        <v>0</v>
      </c>
      <c r="DL44" s="81">
        <f t="shared" si="91"/>
        <v>0</v>
      </c>
      <c r="DM44" s="81">
        <v>0</v>
      </c>
      <c r="DN44" s="81">
        <v>0</v>
      </c>
      <c r="DO44" s="81">
        <v>0</v>
      </c>
      <c r="DP44" s="81">
        <v>0</v>
      </c>
      <c r="DQ44" s="81">
        <v>0</v>
      </c>
      <c r="DR44" s="81">
        <v>0</v>
      </c>
      <c r="DS44" s="81">
        <f t="shared" si="92"/>
        <v>0</v>
      </c>
      <c r="DT44" s="81">
        <f t="shared" si="92"/>
        <v>0</v>
      </c>
      <c r="DU44" s="81">
        <f t="shared" si="92"/>
        <v>0</v>
      </c>
      <c r="DV44" s="87">
        <f>168000+27000</f>
        <v>195000</v>
      </c>
      <c r="DW44" s="81">
        <v>195000</v>
      </c>
      <c r="DX44" s="81">
        <f>172800+219950+33420+30+100000</f>
        <v>526200</v>
      </c>
      <c r="DY44" s="81">
        <v>0</v>
      </c>
      <c r="DZ44" s="81">
        <v>0</v>
      </c>
      <c r="EA44" s="81">
        <v>0</v>
      </c>
      <c r="EB44" s="81">
        <f t="shared" si="93"/>
        <v>195000</v>
      </c>
      <c r="EC44" s="81">
        <f t="shared" si="93"/>
        <v>195000</v>
      </c>
      <c r="ED44" s="81">
        <f t="shared" si="93"/>
        <v>526200</v>
      </c>
      <c r="EE44" s="87">
        <f t="shared" si="94"/>
        <v>195000</v>
      </c>
      <c r="EF44" s="87">
        <f t="shared" si="94"/>
        <v>195000</v>
      </c>
      <c r="EG44" s="87">
        <f t="shared" si="94"/>
        <v>526200</v>
      </c>
      <c r="EH44" s="96" t="s">
        <v>242</v>
      </c>
    </row>
    <row r="45" spans="1:151" s="32" customFormat="1">
      <c r="A45" s="39" t="s">
        <v>125</v>
      </c>
      <c r="B45" s="25" t="s">
        <v>126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f t="shared" si="85"/>
        <v>0</v>
      </c>
      <c r="J45" s="81">
        <f t="shared" si="85"/>
        <v>0</v>
      </c>
      <c r="K45" s="81">
        <f t="shared" si="85"/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7">
        <f t="shared" si="86"/>
        <v>0</v>
      </c>
      <c r="S45" s="87">
        <f t="shared" si="86"/>
        <v>0</v>
      </c>
      <c r="T45" s="87">
        <f t="shared" si="86"/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92">
        <f t="shared" si="87"/>
        <v>0</v>
      </c>
      <c r="AB45" s="92">
        <f t="shared" si="87"/>
        <v>0</v>
      </c>
      <c r="AC45" s="92">
        <f t="shared" si="87"/>
        <v>0</v>
      </c>
      <c r="AD45" s="81">
        <v>0</v>
      </c>
      <c r="AE45" s="81">
        <v>0</v>
      </c>
      <c r="AF45" s="81">
        <v>0</v>
      </c>
      <c r="AG45" s="81">
        <v>0</v>
      </c>
      <c r="AH45" s="81">
        <v>0</v>
      </c>
      <c r="AI45" s="81">
        <v>0</v>
      </c>
      <c r="AJ45" s="81">
        <v>0</v>
      </c>
      <c r="AK45" s="81">
        <v>0</v>
      </c>
      <c r="AL45" s="81">
        <v>0</v>
      </c>
      <c r="AM45" s="87">
        <f t="shared" si="88"/>
        <v>0</v>
      </c>
      <c r="AN45" s="87">
        <f t="shared" si="88"/>
        <v>0</v>
      </c>
      <c r="AO45" s="87">
        <f t="shared" si="88"/>
        <v>0</v>
      </c>
      <c r="AP45" s="81">
        <v>0</v>
      </c>
      <c r="AQ45" s="81">
        <v>0</v>
      </c>
      <c r="AR45" s="81">
        <v>0</v>
      </c>
      <c r="AS45" s="81">
        <v>0</v>
      </c>
      <c r="AT45" s="81">
        <v>0</v>
      </c>
      <c r="AU45" s="81">
        <v>0</v>
      </c>
      <c r="AV45" s="81">
        <v>0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  <c r="BG45" s="81">
        <v>0</v>
      </c>
      <c r="BH45" s="81">
        <v>0</v>
      </c>
      <c r="BI45" s="81">
        <v>0</v>
      </c>
      <c r="BJ45" s="81">
        <v>0</v>
      </c>
      <c r="BK45" s="81">
        <v>0</v>
      </c>
      <c r="BL45" s="81">
        <v>0</v>
      </c>
      <c r="BM45" s="81">
        <v>0</v>
      </c>
      <c r="BN45" s="81">
        <v>0</v>
      </c>
      <c r="BO45" s="81">
        <v>0</v>
      </c>
      <c r="BP45" s="81">
        <v>0</v>
      </c>
      <c r="BQ45" s="81">
        <v>0</v>
      </c>
      <c r="BR45" s="81">
        <v>0</v>
      </c>
      <c r="BS45" s="81">
        <v>0</v>
      </c>
      <c r="BT45" s="81">
        <v>0</v>
      </c>
      <c r="BU45" s="81">
        <v>0</v>
      </c>
      <c r="BV45" s="81">
        <v>0</v>
      </c>
      <c r="BW45" s="87">
        <f t="shared" si="89"/>
        <v>0</v>
      </c>
      <c r="BX45" s="87">
        <f t="shared" si="89"/>
        <v>0</v>
      </c>
      <c r="BY45" s="87">
        <f t="shared" si="89"/>
        <v>0</v>
      </c>
      <c r="BZ45" s="81">
        <v>0</v>
      </c>
      <c r="CA45" s="81">
        <v>0</v>
      </c>
      <c r="CB45" s="81">
        <v>0</v>
      </c>
      <c r="CC45" s="81">
        <v>0</v>
      </c>
      <c r="CD45" s="81">
        <v>0</v>
      </c>
      <c r="CE45" s="81">
        <v>0</v>
      </c>
      <c r="CF45" s="81">
        <v>0</v>
      </c>
      <c r="CG45" s="81">
        <v>0</v>
      </c>
      <c r="CH45" s="81">
        <v>0</v>
      </c>
      <c r="CI45" s="81">
        <v>0</v>
      </c>
      <c r="CJ45" s="81">
        <v>0</v>
      </c>
      <c r="CK45" s="81">
        <v>0</v>
      </c>
      <c r="CL45" s="81">
        <v>0</v>
      </c>
      <c r="CM45" s="81">
        <v>0</v>
      </c>
      <c r="CN45" s="81">
        <v>0</v>
      </c>
      <c r="CO45" s="81">
        <v>0</v>
      </c>
      <c r="CP45" s="81">
        <v>0</v>
      </c>
      <c r="CQ45" s="81">
        <v>0</v>
      </c>
      <c r="CR45" s="81">
        <f t="shared" si="90"/>
        <v>0</v>
      </c>
      <c r="CS45" s="81">
        <f t="shared" si="90"/>
        <v>0</v>
      </c>
      <c r="CT45" s="81">
        <f t="shared" si="90"/>
        <v>0</v>
      </c>
      <c r="CU45" s="81">
        <v>0</v>
      </c>
      <c r="CV45" s="81">
        <v>0</v>
      </c>
      <c r="CW45" s="81">
        <v>0</v>
      </c>
      <c r="CX45" s="81">
        <v>0</v>
      </c>
      <c r="CY45" s="81">
        <v>0</v>
      </c>
      <c r="CZ45" s="81">
        <v>0</v>
      </c>
      <c r="DA45" s="81">
        <v>0</v>
      </c>
      <c r="DB45" s="81">
        <v>0</v>
      </c>
      <c r="DC45" s="81">
        <v>0</v>
      </c>
      <c r="DD45" s="81">
        <v>0</v>
      </c>
      <c r="DE45" s="81">
        <v>0</v>
      </c>
      <c r="DF45" s="81">
        <v>0</v>
      </c>
      <c r="DG45" s="81">
        <v>0</v>
      </c>
      <c r="DH45" s="81">
        <v>0</v>
      </c>
      <c r="DI45" s="81">
        <v>0</v>
      </c>
      <c r="DJ45" s="81">
        <f t="shared" si="91"/>
        <v>0</v>
      </c>
      <c r="DK45" s="81">
        <f t="shared" si="91"/>
        <v>0</v>
      </c>
      <c r="DL45" s="81">
        <f t="shared" si="91"/>
        <v>0</v>
      </c>
      <c r="DM45" s="81">
        <v>0</v>
      </c>
      <c r="DN45" s="81">
        <v>0</v>
      </c>
      <c r="DO45" s="81">
        <v>0</v>
      </c>
      <c r="DP45" s="81">
        <v>0</v>
      </c>
      <c r="DQ45" s="81">
        <v>0</v>
      </c>
      <c r="DR45" s="81">
        <v>0</v>
      </c>
      <c r="DS45" s="81">
        <f t="shared" si="92"/>
        <v>0</v>
      </c>
      <c r="DT45" s="81">
        <f t="shared" si="92"/>
        <v>0</v>
      </c>
      <c r="DU45" s="81">
        <f t="shared" si="92"/>
        <v>0</v>
      </c>
      <c r="DV45" s="81">
        <v>0</v>
      </c>
      <c r="DW45" s="81">
        <v>0</v>
      </c>
      <c r="DX45" s="81">
        <v>0</v>
      </c>
      <c r="DY45" s="81">
        <v>0</v>
      </c>
      <c r="DZ45" s="81">
        <v>0</v>
      </c>
      <c r="EA45" s="81">
        <v>0</v>
      </c>
      <c r="EB45" s="81">
        <v>0</v>
      </c>
      <c r="EC45" s="81">
        <v>0</v>
      </c>
      <c r="ED45" s="81">
        <v>0</v>
      </c>
      <c r="EE45" s="87">
        <f t="shared" si="94"/>
        <v>0</v>
      </c>
      <c r="EF45" s="87">
        <f t="shared" si="94"/>
        <v>0</v>
      </c>
      <c r="EG45" s="87">
        <f t="shared" si="94"/>
        <v>0</v>
      </c>
      <c r="EH45" s="94" t="s">
        <v>126</v>
      </c>
      <c r="EO45" s="2"/>
      <c r="EP45" s="2"/>
      <c r="EQ45" s="2"/>
      <c r="ER45" s="61"/>
      <c r="ES45" s="2"/>
      <c r="ET45" s="2"/>
      <c r="EU45" s="2"/>
    </row>
    <row r="46" spans="1:151" s="32" customFormat="1">
      <c r="A46" s="39" t="s">
        <v>127</v>
      </c>
      <c r="B46" s="25" t="s">
        <v>128</v>
      </c>
      <c r="C46" s="85">
        <f>SUM(C47:C48)</f>
        <v>234000</v>
      </c>
      <c r="D46" s="83">
        <f>SUM(D47:D48)</f>
        <v>234000</v>
      </c>
      <c r="E46" s="85">
        <f t="shared" ref="E46:AZ46" si="95">SUM(E47:E48)</f>
        <v>160000</v>
      </c>
      <c r="F46" s="85">
        <f>SUM(F47:F48)</f>
        <v>0</v>
      </c>
      <c r="G46" s="85">
        <f>SUM(G47:G48)</f>
        <v>0</v>
      </c>
      <c r="H46" s="85">
        <f t="shared" si="95"/>
        <v>0</v>
      </c>
      <c r="I46" s="85">
        <f t="shared" si="95"/>
        <v>234000</v>
      </c>
      <c r="J46" s="85">
        <f t="shared" si="95"/>
        <v>234000</v>
      </c>
      <c r="K46" s="85">
        <f t="shared" si="95"/>
        <v>160000</v>
      </c>
      <c r="L46" s="85">
        <f>SUM(L47:L48)</f>
        <v>0</v>
      </c>
      <c r="M46" s="85">
        <f>SUM(M47:M48)</f>
        <v>0</v>
      </c>
      <c r="N46" s="85">
        <f t="shared" si="95"/>
        <v>0</v>
      </c>
      <c r="O46" s="85">
        <f t="shared" si="95"/>
        <v>0</v>
      </c>
      <c r="P46" s="85">
        <f t="shared" si="95"/>
        <v>0</v>
      </c>
      <c r="Q46" s="85">
        <f t="shared" si="95"/>
        <v>0</v>
      </c>
      <c r="R46" s="85">
        <f t="shared" si="95"/>
        <v>0</v>
      </c>
      <c r="S46" s="85">
        <f t="shared" si="95"/>
        <v>0</v>
      </c>
      <c r="T46" s="85">
        <f t="shared" si="95"/>
        <v>0</v>
      </c>
      <c r="U46" s="85">
        <f>SUM(U47:U48)</f>
        <v>0</v>
      </c>
      <c r="V46" s="85">
        <f>SUM(V47:V48)</f>
        <v>0</v>
      </c>
      <c r="W46" s="85">
        <f t="shared" si="95"/>
        <v>0</v>
      </c>
      <c r="X46" s="85">
        <f>SUM(X47:X48)</f>
        <v>0</v>
      </c>
      <c r="Y46" s="85">
        <f>SUM(Y47:Y48)</f>
        <v>0</v>
      </c>
      <c r="Z46" s="85">
        <f t="shared" si="95"/>
        <v>0</v>
      </c>
      <c r="AA46" s="85">
        <f t="shared" si="95"/>
        <v>0</v>
      </c>
      <c r="AB46" s="85">
        <f t="shared" si="95"/>
        <v>0</v>
      </c>
      <c r="AC46" s="85">
        <f t="shared" si="95"/>
        <v>0</v>
      </c>
      <c r="AD46" s="85">
        <f>SUM(AD47:AD48)</f>
        <v>0</v>
      </c>
      <c r="AE46" s="85">
        <f>SUM(AE47:AE48)</f>
        <v>0</v>
      </c>
      <c r="AF46" s="85">
        <f t="shared" si="95"/>
        <v>0</v>
      </c>
      <c r="AG46" s="85">
        <f>SUM(AG47:AG48)</f>
        <v>0</v>
      </c>
      <c r="AH46" s="85">
        <f>SUM(AH47:AH48)</f>
        <v>0</v>
      </c>
      <c r="AI46" s="85">
        <f t="shared" si="95"/>
        <v>0</v>
      </c>
      <c r="AJ46" s="85">
        <f>SUM(AJ47:AJ48)</f>
        <v>0</v>
      </c>
      <c r="AK46" s="85">
        <f>SUM(AK47:AK48)</f>
        <v>0</v>
      </c>
      <c r="AL46" s="85">
        <f t="shared" si="95"/>
        <v>0</v>
      </c>
      <c r="AM46" s="85">
        <f t="shared" si="95"/>
        <v>0</v>
      </c>
      <c r="AN46" s="85">
        <f t="shared" si="95"/>
        <v>0</v>
      </c>
      <c r="AO46" s="85">
        <f t="shared" si="95"/>
        <v>0</v>
      </c>
      <c r="AP46" s="85">
        <f t="shared" si="95"/>
        <v>0</v>
      </c>
      <c r="AQ46" s="85">
        <f t="shared" si="95"/>
        <v>0</v>
      </c>
      <c r="AR46" s="85">
        <f t="shared" si="95"/>
        <v>0</v>
      </c>
      <c r="AS46" s="85">
        <f t="shared" si="95"/>
        <v>0</v>
      </c>
      <c r="AT46" s="85">
        <f t="shared" si="95"/>
        <v>0</v>
      </c>
      <c r="AU46" s="85">
        <f t="shared" si="95"/>
        <v>0</v>
      </c>
      <c r="AV46" s="85">
        <f t="shared" si="95"/>
        <v>0</v>
      </c>
      <c r="AW46" s="85">
        <f t="shared" si="95"/>
        <v>0</v>
      </c>
      <c r="AX46" s="85">
        <f t="shared" si="95"/>
        <v>0</v>
      </c>
      <c r="AY46" s="85">
        <f t="shared" si="95"/>
        <v>0</v>
      </c>
      <c r="AZ46" s="85">
        <f t="shared" si="95"/>
        <v>0</v>
      </c>
      <c r="BA46" s="85">
        <f t="shared" ref="BA46:CV46" si="96">SUM(BA47:BA48)</f>
        <v>0</v>
      </c>
      <c r="BB46" s="85">
        <f t="shared" si="96"/>
        <v>0</v>
      </c>
      <c r="BC46" s="85">
        <f t="shared" si="96"/>
        <v>0</v>
      </c>
      <c r="BD46" s="85">
        <f t="shared" si="96"/>
        <v>0</v>
      </c>
      <c r="BE46" s="85">
        <f t="shared" si="96"/>
        <v>0</v>
      </c>
      <c r="BF46" s="85">
        <f t="shared" si="96"/>
        <v>0</v>
      </c>
      <c r="BG46" s="85">
        <f t="shared" si="96"/>
        <v>0</v>
      </c>
      <c r="BH46" s="85">
        <f t="shared" si="96"/>
        <v>0</v>
      </c>
      <c r="BI46" s="85">
        <f t="shared" si="96"/>
        <v>0</v>
      </c>
      <c r="BJ46" s="85">
        <f t="shared" si="96"/>
        <v>0</v>
      </c>
      <c r="BK46" s="85">
        <f t="shared" si="96"/>
        <v>0</v>
      </c>
      <c r="BL46" s="85">
        <f t="shared" si="96"/>
        <v>0</v>
      </c>
      <c r="BM46" s="85">
        <f t="shared" si="96"/>
        <v>0</v>
      </c>
      <c r="BN46" s="85">
        <f t="shared" si="96"/>
        <v>0</v>
      </c>
      <c r="BO46" s="85">
        <f t="shared" si="96"/>
        <v>0</v>
      </c>
      <c r="BP46" s="85">
        <f t="shared" si="96"/>
        <v>0</v>
      </c>
      <c r="BQ46" s="85">
        <f t="shared" si="96"/>
        <v>0</v>
      </c>
      <c r="BR46" s="85">
        <f t="shared" si="96"/>
        <v>0</v>
      </c>
      <c r="BS46" s="85">
        <f t="shared" si="96"/>
        <v>0</v>
      </c>
      <c r="BT46" s="85">
        <f t="shared" si="96"/>
        <v>0</v>
      </c>
      <c r="BU46" s="85">
        <f t="shared" si="96"/>
        <v>0</v>
      </c>
      <c r="BV46" s="85">
        <f t="shared" si="96"/>
        <v>0</v>
      </c>
      <c r="BW46" s="85">
        <f t="shared" si="96"/>
        <v>0</v>
      </c>
      <c r="BX46" s="85">
        <f t="shared" si="96"/>
        <v>0</v>
      </c>
      <c r="BY46" s="85">
        <f t="shared" si="96"/>
        <v>0</v>
      </c>
      <c r="BZ46" s="85">
        <f t="shared" si="96"/>
        <v>0</v>
      </c>
      <c r="CA46" s="85">
        <f t="shared" si="96"/>
        <v>0</v>
      </c>
      <c r="CB46" s="85">
        <f t="shared" si="96"/>
        <v>0</v>
      </c>
      <c r="CC46" s="85">
        <f t="shared" si="96"/>
        <v>0</v>
      </c>
      <c r="CD46" s="85">
        <f t="shared" si="96"/>
        <v>0</v>
      </c>
      <c r="CE46" s="85">
        <f t="shared" si="96"/>
        <v>0</v>
      </c>
      <c r="CF46" s="85">
        <f t="shared" si="96"/>
        <v>0</v>
      </c>
      <c r="CG46" s="85">
        <f t="shared" si="96"/>
        <v>0</v>
      </c>
      <c r="CH46" s="85">
        <f t="shared" si="96"/>
        <v>0</v>
      </c>
      <c r="CI46" s="85">
        <f t="shared" si="96"/>
        <v>0</v>
      </c>
      <c r="CJ46" s="85">
        <f t="shared" si="96"/>
        <v>0</v>
      </c>
      <c r="CK46" s="85">
        <f t="shared" si="96"/>
        <v>0</v>
      </c>
      <c r="CL46" s="85">
        <f t="shared" si="96"/>
        <v>0</v>
      </c>
      <c r="CM46" s="85">
        <f t="shared" si="96"/>
        <v>0</v>
      </c>
      <c r="CN46" s="85">
        <f t="shared" si="96"/>
        <v>0</v>
      </c>
      <c r="CO46" s="80">
        <f t="shared" si="96"/>
        <v>8000</v>
      </c>
      <c r="CP46" s="80">
        <f>SUM(CP47:CP48)</f>
        <v>8000</v>
      </c>
      <c r="CQ46" s="85">
        <f t="shared" si="96"/>
        <v>8000</v>
      </c>
      <c r="CR46" s="85">
        <f t="shared" si="96"/>
        <v>8000</v>
      </c>
      <c r="CS46" s="85">
        <f t="shared" si="96"/>
        <v>8000</v>
      </c>
      <c r="CT46" s="85">
        <f t="shared" si="96"/>
        <v>8000</v>
      </c>
      <c r="CU46" s="85">
        <f t="shared" si="96"/>
        <v>0</v>
      </c>
      <c r="CV46" s="85">
        <f t="shared" si="96"/>
        <v>0</v>
      </c>
      <c r="CW46" s="85">
        <f t="shared" ref="CW46:EG46" si="97">SUM(CW47:CW48)</f>
        <v>0</v>
      </c>
      <c r="CX46" s="85">
        <f t="shared" si="97"/>
        <v>0</v>
      </c>
      <c r="CY46" s="85">
        <f t="shared" si="97"/>
        <v>0</v>
      </c>
      <c r="CZ46" s="85">
        <f t="shared" si="97"/>
        <v>0</v>
      </c>
      <c r="DA46" s="80">
        <f t="shared" si="97"/>
        <v>90000</v>
      </c>
      <c r="DB46" s="85">
        <f t="shared" si="97"/>
        <v>90000</v>
      </c>
      <c r="DC46" s="85">
        <f t="shared" si="97"/>
        <v>100000</v>
      </c>
      <c r="DD46" s="85">
        <f t="shared" si="97"/>
        <v>0</v>
      </c>
      <c r="DE46" s="85">
        <f t="shared" si="97"/>
        <v>0</v>
      </c>
      <c r="DF46" s="85">
        <f t="shared" si="97"/>
        <v>0</v>
      </c>
      <c r="DG46" s="85">
        <f t="shared" si="97"/>
        <v>0</v>
      </c>
      <c r="DH46" s="85">
        <f t="shared" si="97"/>
        <v>0</v>
      </c>
      <c r="DI46" s="85">
        <f t="shared" si="97"/>
        <v>0</v>
      </c>
      <c r="DJ46" s="85">
        <f t="shared" si="97"/>
        <v>0</v>
      </c>
      <c r="DK46" s="85">
        <f t="shared" si="97"/>
        <v>0</v>
      </c>
      <c r="DL46" s="85">
        <f t="shared" si="97"/>
        <v>0</v>
      </c>
      <c r="DM46" s="85">
        <f>SUM(DM47:DM48)</f>
        <v>0</v>
      </c>
      <c r="DN46" s="85">
        <f>SUM(DN47:DN48)</f>
        <v>0</v>
      </c>
      <c r="DO46" s="85">
        <f t="shared" si="97"/>
        <v>0</v>
      </c>
      <c r="DP46" s="85">
        <f>SUM(DP47:DP48)</f>
        <v>0</v>
      </c>
      <c r="DQ46" s="85">
        <f>SUM(DQ47:DQ48)</f>
        <v>0</v>
      </c>
      <c r="DR46" s="85">
        <f t="shared" si="97"/>
        <v>0</v>
      </c>
      <c r="DS46" s="85">
        <f t="shared" si="97"/>
        <v>90000</v>
      </c>
      <c r="DT46" s="85">
        <f t="shared" si="97"/>
        <v>90000</v>
      </c>
      <c r="DU46" s="85">
        <f t="shared" si="97"/>
        <v>100000</v>
      </c>
      <c r="DV46" s="85">
        <f t="shared" si="97"/>
        <v>0</v>
      </c>
      <c r="DW46" s="85">
        <f t="shared" si="97"/>
        <v>0</v>
      </c>
      <c r="DX46" s="85">
        <f t="shared" si="97"/>
        <v>0</v>
      </c>
      <c r="DY46" s="85">
        <f t="shared" si="97"/>
        <v>0</v>
      </c>
      <c r="DZ46" s="85">
        <f t="shared" si="97"/>
        <v>0</v>
      </c>
      <c r="EA46" s="85">
        <f t="shared" si="97"/>
        <v>0</v>
      </c>
      <c r="EB46" s="85">
        <f t="shared" si="97"/>
        <v>0</v>
      </c>
      <c r="EC46" s="85">
        <f t="shared" si="97"/>
        <v>0</v>
      </c>
      <c r="ED46" s="85">
        <f t="shared" si="97"/>
        <v>0</v>
      </c>
      <c r="EE46" s="85">
        <f t="shared" si="97"/>
        <v>332000</v>
      </c>
      <c r="EF46" s="85">
        <f t="shared" si="97"/>
        <v>332000</v>
      </c>
      <c r="EG46" s="85">
        <f t="shared" si="97"/>
        <v>268000</v>
      </c>
      <c r="EH46" s="94" t="s">
        <v>128</v>
      </c>
      <c r="EO46" s="2"/>
      <c r="EP46" s="2"/>
      <c r="EQ46" s="2"/>
      <c r="ER46" s="61"/>
      <c r="ES46" s="2"/>
      <c r="ET46" s="2"/>
      <c r="EU46" s="2"/>
    </row>
    <row r="47" spans="1:151">
      <c r="A47" s="33" t="s">
        <v>243</v>
      </c>
      <c r="B47" s="34" t="s">
        <v>244</v>
      </c>
      <c r="C47" s="81">
        <v>234000</v>
      </c>
      <c r="D47" s="87">
        <v>234000</v>
      </c>
      <c r="E47" s="81">
        <v>160000</v>
      </c>
      <c r="F47" s="81"/>
      <c r="G47" s="81"/>
      <c r="H47" s="81"/>
      <c r="I47" s="81">
        <f t="shared" ref="I47:K48" si="98">SUM(C47,F47)</f>
        <v>234000</v>
      </c>
      <c r="J47" s="81">
        <f t="shared" si="98"/>
        <v>234000</v>
      </c>
      <c r="K47" s="81">
        <f t="shared" si="98"/>
        <v>160000</v>
      </c>
      <c r="L47" s="81"/>
      <c r="M47" s="81"/>
      <c r="N47" s="81"/>
      <c r="O47" s="81"/>
      <c r="P47" s="81"/>
      <c r="Q47" s="81"/>
      <c r="R47" s="87">
        <f t="shared" ref="R47:T48" si="99">SUM(L47,O47)</f>
        <v>0</v>
      </c>
      <c r="S47" s="87">
        <f t="shared" si="99"/>
        <v>0</v>
      </c>
      <c r="T47" s="87">
        <f t="shared" si="99"/>
        <v>0</v>
      </c>
      <c r="U47" s="81">
        <v>0</v>
      </c>
      <c r="V47" s="81">
        <v>0</v>
      </c>
      <c r="W47" s="81">
        <v>0</v>
      </c>
      <c r="X47" s="81"/>
      <c r="Y47" s="81"/>
      <c r="Z47" s="81"/>
      <c r="AA47" s="87">
        <f t="shared" ref="AA47:AC48" si="100">U47+X47</f>
        <v>0</v>
      </c>
      <c r="AB47" s="87">
        <f t="shared" si="100"/>
        <v>0</v>
      </c>
      <c r="AC47" s="87">
        <f t="shared" si="100"/>
        <v>0</v>
      </c>
      <c r="AD47" s="81"/>
      <c r="AE47" s="81"/>
      <c r="AF47" s="81"/>
      <c r="AG47" s="81"/>
      <c r="AH47" s="81"/>
      <c r="AI47" s="81"/>
      <c r="AJ47" s="81"/>
      <c r="AK47" s="81"/>
      <c r="AL47" s="81"/>
      <c r="AM47" s="87">
        <f t="shared" ref="AM47:AO48" si="101">AD47+AG47+AJ47</f>
        <v>0</v>
      </c>
      <c r="AN47" s="87">
        <f t="shared" si="101"/>
        <v>0</v>
      </c>
      <c r="AO47" s="87">
        <f t="shared" si="101"/>
        <v>0</v>
      </c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7">
        <f t="shared" ref="BW47:BY48" si="102">SUM(AP47,AS47,AV47,AY47,BB47,BE47,BH47,BK47,BN47,BQ47,BT47)</f>
        <v>0</v>
      </c>
      <c r="BX47" s="87">
        <f t="shared" si="102"/>
        <v>0</v>
      </c>
      <c r="BY47" s="87">
        <f t="shared" si="102"/>
        <v>0</v>
      </c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>
        <v>8000</v>
      </c>
      <c r="CP47" s="81">
        <v>8000</v>
      </c>
      <c r="CQ47" s="81">
        <v>8000</v>
      </c>
      <c r="CR47" s="81">
        <f t="shared" ref="CR47:CT48" si="103">SUM(BZ47,CC47,CF47,CI47,CL47,CO47)</f>
        <v>8000</v>
      </c>
      <c r="CS47" s="81">
        <f t="shared" si="103"/>
        <v>8000</v>
      </c>
      <c r="CT47" s="81">
        <f t="shared" si="103"/>
        <v>8000</v>
      </c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>
        <f t="shared" ref="DJ47:DL48" si="104">SUM(DM47,DP47)</f>
        <v>0</v>
      </c>
      <c r="DK47" s="81">
        <f t="shared" si="104"/>
        <v>0</v>
      </c>
      <c r="DL47" s="81">
        <f t="shared" si="104"/>
        <v>0</v>
      </c>
      <c r="DM47" s="81"/>
      <c r="DN47" s="81"/>
      <c r="DO47" s="81"/>
      <c r="DP47" s="81"/>
      <c r="DQ47" s="81"/>
      <c r="DR47" s="81"/>
      <c r="DS47" s="81">
        <f t="shared" ref="DS47:DU48" si="105">SUM(CU47,CX47,DA47,DD47,DG47,DJ47)</f>
        <v>0</v>
      </c>
      <c r="DT47" s="81">
        <f t="shared" si="105"/>
        <v>0</v>
      </c>
      <c r="DU47" s="81">
        <f t="shared" si="105"/>
        <v>0</v>
      </c>
      <c r="DV47" s="81"/>
      <c r="DW47" s="81"/>
      <c r="DX47" s="81"/>
      <c r="DY47" s="81"/>
      <c r="DZ47" s="81"/>
      <c r="EA47" s="81"/>
      <c r="EB47" s="81">
        <f t="shared" ref="EB47:ED48" si="106">SUM(DV47,DY47)</f>
        <v>0</v>
      </c>
      <c r="EC47" s="81">
        <f t="shared" si="106"/>
        <v>0</v>
      </c>
      <c r="ED47" s="81">
        <f t="shared" si="106"/>
        <v>0</v>
      </c>
      <c r="EE47" s="87">
        <f t="shared" ref="EE47:EG48" si="107">SUM(I47,R47,AA47,AM47,BW47,CR47,DS47,EB47)</f>
        <v>242000</v>
      </c>
      <c r="EF47" s="87">
        <f t="shared" si="107"/>
        <v>242000</v>
      </c>
      <c r="EG47" s="87">
        <f t="shared" si="107"/>
        <v>168000</v>
      </c>
      <c r="EH47" s="96" t="s">
        <v>244</v>
      </c>
    </row>
    <row r="48" spans="1:151">
      <c r="A48" s="33" t="s">
        <v>131</v>
      </c>
      <c r="B48" s="34" t="s">
        <v>132</v>
      </c>
      <c r="C48" s="81"/>
      <c r="D48" s="81"/>
      <c r="E48" s="81"/>
      <c r="F48" s="81"/>
      <c r="G48" s="81"/>
      <c r="H48" s="81"/>
      <c r="I48" s="81">
        <f t="shared" si="98"/>
        <v>0</v>
      </c>
      <c r="J48" s="81">
        <f t="shared" si="98"/>
        <v>0</v>
      </c>
      <c r="K48" s="81">
        <f t="shared" si="98"/>
        <v>0</v>
      </c>
      <c r="L48" s="81"/>
      <c r="M48" s="81"/>
      <c r="N48" s="81"/>
      <c r="O48" s="81"/>
      <c r="P48" s="81"/>
      <c r="Q48" s="81"/>
      <c r="R48" s="87">
        <f t="shared" si="99"/>
        <v>0</v>
      </c>
      <c r="S48" s="87">
        <f t="shared" si="99"/>
        <v>0</v>
      </c>
      <c r="T48" s="87">
        <f t="shared" si="99"/>
        <v>0</v>
      </c>
      <c r="U48" s="81">
        <v>0</v>
      </c>
      <c r="V48" s="81">
        <v>0</v>
      </c>
      <c r="W48" s="81">
        <v>0</v>
      </c>
      <c r="X48" s="81"/>
      <c r="Y48" s="81"/>
      <c r="Z48" s="81"/>
      <c r="AA48" s="87">
        <f t="shared" si="100"/>
        <v>0</v>
      </c>
      <c r="AB48" s="87">
        <f t="shared" si="100"/>
        <v>0</v>
      </c>
      <c r="AC48" s="87">
        <f t="shared" si="100"/>
        <v>0</v>
      </c>
      <c r="AD48" s="81"/>
      <c r="AE48" s="81"/>
      <c r="AF48" s="81"/>
      <c r="AG48" s="81"/>
      <c r="AH48" s="81"/>
      <c r="AI48" s="81"/>
      <c r="AJ48" s="81"/>
      <c r="AK48" s="81"/>
      <c r="AL48" s="81"/>
      <c r="AM48" s="87">
        <f t="shared" si="101"/>
        <v>0</v>
      </c>
      <c r="AN48" s="87">
        <f t="shared" si="101"/>
        <v>0</v>
      </c>
      <c r="AO48" s="87">
        <f t="shared" si="101"/>
        <v>0</v>
      </c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7">
        <f t="shared" si="102"/>
        <v>0</v>
      </c>
      <c r="BX48" s="87">
        <f t="shared" si="102"/>
        <v>0</v>
      </c>
      <c r="BY48" s="87">
        <f t="shared" si="102"/>
        <v>0</v>
      </c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>
        <f t="shared" si="103"/>
        <v>0</v>
      </c>
      <c r="CS48" s="81">
        <f t="shared" si="103"/>
        <v>0</v>
      </c>
      <c r="CT48" s="81">
        <f t="shared" si="103"/>
        <v>0</v>
      </c>
      <c r="CU48" s="81"/>
      <c r="CV48" s="81"/>
      <c r="CW48" s="81"/>
      <c r="CX48" s="81"/>
      <c r="CY48" s="81"/>
      <c r="CZ48" s="81"/>
      <c r="DA48" s="81">
        <v>90000</v>
      </c>
      <c r="DB48" s="81">
        <v>90000</v>
      </c>
      <c r="DC48" s="81">
        <v>100000</v>
      </c>
      <c r="DD48" s="81"/>
      <c r="DE48" s="81"/>
      <c r="DF48" s="81"/>
      <c r="DG48" s="81"/>
      <c r="DH48" s="81"/>
      <c r="DI48" s="81"/>
      <c r="DJ48" s="81">
        <f t="shared" si="104"/>
        <v>0</v>
      </c>
      <c r="DK48" s="81">
        <f t="shared" si="104"/>
        <v>0</v>
      </c>
      <c r="DL48" s="81">
        <f t="shared" si="104"/>
        <v>0</v>
      </c>
      <c r="DM48" s="81"/>
      <c r="DN48" s="81"/>
      <c r="DO48" s="81"/>
      <c r="DP48" s="81"/>
      <c r="DQ48" s="81"/>
      <c r="DR48" s="81"/>
      <c r="DS48" s="81">
        <f t="shared" si="105"/>
        <v>90000</v>
      </c>
      <c r="DT48" s="81">
        <f t="shared" si="105"/>
        <v>90000</v>
      </c>
      <c r="DU48" s="81">
        <f t="shared" si="105"/>
        <v>100000</v>
      </c>
      <c r="DV48" s="81"/>
      <c r="DW48" s="81"/>
      <c r="DX48" s="81"/>
      <c r="DY48" s="81"/>
      <c r="DZ48" s="81"/>
      <c r="EA48" s="81"/>
      <c r="EB48" s="81">
        <f t="shared" si="106"/>
        <v>0</v>
      </c>
      <c r="EC48" s="81">
        <f t="shared" si="106"/>
        <v>0</v>
      </c>
      <c r="ED48" s="81">
        <f t="shared" si="106"/>
        <v>0</v>
      </c>
      <c r="EE48" s="87">
        <f t="shared" si="107"/>
        <v>90000</v>
      </c>
      <c r="EF48" s="87">
        <f t="shared" si="107"/>
        <v>90000</v>
      </c>
      <c r="EG48" s="87">
        <f t="shared" si="107"/>
        <v>100000</v>
      </c>
      <c r="EH48" s="96" t="s">
        <v>132</v>
      </c>
    </row>
    <row r="49" spans="1:151" s="4" customFormat="1">
      <c r="A49" s="75" t="s">
        <v>133</v>
      </c>
      <c r="B49" s="76" t="s">
        <v>134</v>
      </c>
      <c r="C49" s="92">
        <f>SUM(C50:C51)</f>
        <v>0</v>
      </c>
      <c r="D49" s="92">
        <f>SUM(D50:D51)</f>
        <v>0</v>
      </c>
      <c r="E49" s="92">
        <f t="shared" ref="E49:AZ49" si="108">SUM(E50:E51)</f>
        <v>0</v>
      </c>
      <c r="F49" s="92">
        <f>SUM(F50:F51)</f>
        <v>0</v>
      </c>
      <c r="G49" s="92">
        <f>SUM(G50:G51)</f>
        <v>0</v>
      </c>
      <c r="H49" s="92">
        <f t="shared" si="108"/>
        <v>0</v>
      </c>
      <c r="I49" s="92">
        <f t="shared" si="108"/>
        <v>0</v>
      </c>
      <c r="J49" s="92">
        <f t="shared" si="108"/>
        <v>0</v>
      </c>
      <c r="K49" s="92">
        <f t="shared" si="108"/>
        <v>0</v>
      </c>
      <c r="L49" s="92">
        <f>SUM(L50:L51)</f>
        <v>0</v>
      </c>
      <c r="M49" s="92">
        <f>SUM(M50:M51)</f>
        <v>0</v>
      </c>
      <c r="N49" s="92">
        <f t="shared" si="108"/>
        <v>0</v>
      </c>
      <c r="O49" s="92">
        <f t="shared" si="108"/>
        <v>0</v>
      </c>
      <c r="P49" s="92">
        <f t="shared" si="108"/>
        <v>0</v>
      </c>
      <c r="Q49" s="92">
        <f t="shared" si="108"/>
        <v>0</v>
      </c>
      <c r="R49" s="105">
        <f t="shared" si="108"/>
        <v>0</v>
      </c>
      <c r="S49" s="105">
        <f t="shared" si="108"/>
        <v>0</v>
      </c>
      <c r="T49" s="105">
        <f t="shared" si="108"/>
        <v>0</v>
      </c>
      <c r="U49" s="92">
        <f>SUM(U50:U51)</f>
        <v>0</v>
      </c>
      <c r="V49" s="92">
        <f>SUM(V50:V51)</f>
        <v>0</v>
      </c>
      <c r="W49" s="92">
        <f t="shared" si="108"/>
        <v>0</v>
      </c>
      <c r="X49" s="92">
        <f>SUM(X50:X51)</f>
        <v>0</v>
      </c>
      <c r="Y49" s="92">
        <f>SUM(Y50:Y51)</f>
        <v>0</v>
      </c>
      <c r="Z49" s="92">
        <f t="shared" si="108"/>
        <v>0</v>
      </c>
      <c r="AA49" s="92">
        <f t="shared" si="108"/>
        <v>0</v>
      </c>
      <c r="AB49" s="92">
        <f t="shared" si="108"/>
        <v>0</v>
      </c>
      <c r="AC49" s="92">
        <f t="shared" si="108"/>
        <v>0</v>
      </c>
      <c r="AD49" s="92">
        <f>SUM(AD50:AD51)</f>
        <v>0</v>
      </c>
      <c r="AE49" s="92">
        <f>SUM(AE50:AE51)</f>
        <v>0</v>
      </c>
      <c r="AF49" s="92">
        <f t="shared" si="108"/>
        <v>0</v>
      </c>
      <c r="AG49" s="92">
        <f>SUM(AG50:AG51)</f>
        <v>0</v>
      </c>
      <c r="AH49" s="92">
        <f>SUM(AH50:AH51)</f>
        <v>0</v>
      </c>
      <c r="AI49" s="92">
        <f t="shared" si="108"/>
        <v>0</v>
      </c>
      <c r="AJ49" s="92">
        <f>SUM(AJ50:AJ51)</f>
        <v>0</v>
      </c>
      <c r="AK49" s="92">
        <f>SUM(AK50:AK51)</f>
        <v>0</v>
      </c>
      <c r="AL49" s="92">
        <f t="shared" si="108"/>
        <v>0</v>
      </c>
      <c r="AM49" s="92">
        <f t="shared" si="108"/>
        <v>0</v>
      </c>
      <c r="AN49" s="92">
        <f t="shared" si="108"/>
        <v>0</v>
      </c>
      <c r="AO49" s="92">
        <f t="shared" si="108"/>
        <v>0</v>
      </c>
      <c r="AP49" s="92">
        <f t="shared" si="108"/>
        <v>0</v>
      </c>
      <c r="AQ49" s="92">
        <f t="shared" si="108"/>
        <v>0</v>
      </c>
      <c r="AR49" s="92">
        <f t="shared" si="108"/>
        <v>0</v>
      </c>
      <c r="AS49" s="92">
        <f t="shared" si="108"/>
        <v>0</v>
      </c>
      <c r="AT49" s="92">
        <f t="shared" si="108"/>
        <v>0</v>
      </c>
      <c r="AU49" s="92">
        <f t="shared" si="108"/>
        <v>0</v>
      </c>
      <c r="AV49" s="92">
        <f t="shared" si="108"/>
        <v>0</v>
      </c>
      <c r="AW49" s="92">
        <f t="shared" si="108"/>
        <v>0</v>
      </c>
      <c r="AX49" s="92">
        <f t="shared" si="108"/>
        <v>0</v>
      </c>
      <c r="AY49" s="92">
        <f t="shared" si="108"/>
        <v>0</v>
      </c>
      <c r="AZ49" s="92">
        <f t="shared" si="108"/>
        <v>0</v>
      </c>
      <c r="BA49" s="92">
        <f t="shared" ref="BA49:BV49" si="109">SUM(BA50:BA51)</f>
        <v>0</v>
      </c>
      <c r="BB49" s="92">
        <f t="shared" si="109"/>
        <v>0</v>
      </c>
      <c r="BC49" s="92">
        <f t="shared" si="109"/>
        <v>0</v>
      </c>
      <c r="BD49" s="92">
        <f t="shared" si="109"/>
        <v>0</v>
      </c>
      <c r="BE49" s="92">
        <f t="shared" si="109"/>
        <v>0</v>
      </c>
      <c r="BF49" s="92">
        <f t="shared" si="109"/>
        <v>0</v>
      </c>
      <c r="BG49" s="92">
        <f t="shared" si="109"/>
        <v>0</v>
      </c>
      <c r="BH49" s="92">
        <f t="shared" si="109"/>
        <v>0</v>
      </c>
      <c r="BI49" s="92">
        <f t="shared" si="109"/>
        <v>0</v>
      </c>
      <c r="BJ49" s="92">
        <f t="shared" si="109"/>
        <v>0</v>
      </c>
      <c r="BK49" s="92">
        <f t="shared" si="109"/>
        <v>0</v>
      </c>
      <c r="BL49" s="92">
        <f t="shared" si="109"/>
        <v>0</v>
      </c>
      <c r="BM49" s="92">
        <f t="shared" si="109"/>
        <v>0</v>
      </c>
      <c r="BN49" s="92">
        <f t="shared" si="109"/>
        <v>0</v>
      </c>
      <c r="BO49" s="92">
        <f t="shared" si="109"/>
        <v>0</v>
      </c>
      <c r="BP49" s="92">
        <f t="shared" si="109"/>
        <v>0</v>
      </c>
      <c r="BQ49" s="92">
        <f t="shared" si="109"/>
        <v>0</v>
      </c>
      <c r="BR49" s="92">
        <f t="shared" si="109"/>
        <v>0</v>
      </c>
      <c r="BS49" s="92">
        <f t="shared" si="109"/>
        <v>0</v>
      </c>
      <c r="BT49" s="92">
        <f t="shared" si="109"/>
        <v>0</v>
      </c>
      <c r="BU49" s="92">
        <f t="shared" si="109"/>
        <v>0</v>
      </c>
      <c r="BV49" s="92">
        <f t="shared" si="109"/>
        <v>0</v>
      </c>
      <c r="BW49" s="92"/>
      <c r="BX49" s="92"/>
      <c r="BY49" s="92"/>
      <c r="BZ49" s="92">
        <f t="shared" ref="BZ49:DO49" si="110">SUM(BZ50:BZ51)</f>
        <v>0</v>
      </c>
      <c r="CA49" s="92">
        <f t="shared" si="110"/>
        <v>0</v>
      </c>
      <c r="CB49" s="92">
        <f t="shared" si="110"/>
        <v>0</v>
      </c>
      <c r="CC49" s="92">
        <f t="shared" si="110"/>
        <v>0</v>
      </c>
      <c r="CD49" s="92">
        <f t="shared" si="110"/>
        <v>0</v>
      </c>
      <c r="CE49" s="92">
        <f t="shared" si="110"/>
        <v>0</v>
      </c>
      <c r="CF49" s="92">
        <f t="shared" si="110"/>
        <v>0</v>
      </c>
      <c r="CG49" s="92">
        <f t="shared" si="110"/>
        <v>0</v>
      </c>
      <c r="CH49" s="92">
        <f t="shared" si="110"/>
        <v>0</v>
      </c>
      <c r="CI49" s="92">
        <f t="shared" si="110"/>
        <v>0</v>
      </c>
      <c r="CJ49" s="92">
        <f t="shared" si="110"/>
        <v>0</v>
      </c>
      <c r="CK49" s="92">
        <f t="shared" si="110"/>
        <v>0</v>
      </c>
      <c r="CL49" s="92">
        <f t="shared" si="110"/>
        <v>0</v>
      </c>
      <c r="CM49" s="92">
        <f t="shared" si="110"/>
        <v>0</v>
      </c>
      <c r="CN49" s="92">
        <f t="shared" si="110"/>
        <v>0</v>
      </c>
      <c r="CO49" s="92">
        <f t="shared" si="110"/>
        <v>0</v>
      </c>
      <c r="CP49" s="92">
        <f t="shared" si="110"/>
        <v>0</v>
      </c>
      <c r="CQ49" s="92">
        <f t="shared" si="110"/>
        <v>0</v>
      </c>
      <c r="CR49" s="92">
        <f t="shared" si="110"/>
        <v>0</v>
      </c>
      <c r="CS49" s="92">
        <f t="shared" si="110"/>
        <v>0</v>
      </c>
      <c r="CT49" s="92">
        <f t="shared" si="110"/>
        <v>0</v>
      </c>
      <c r="CU49" s="92">
        <f t="shared" si="110"/>
        <v>0</v>
      </c>
      <c r="CV49" s="92">
        <f t="shared" si="110"/>
        <v>0</v>
      </c>
      <c r="CW49" s="92">
        <f t="shared" si="110"/>
        <v>0</v>
      </c>
      <c r="CX49" s="92">
        <f t="shared" si="110"/>
        <v>0</v>
      </c>
      <c r="CY49" s="92">
        <f t="shared" si="110"/>
        <v>0</v>
      </c>
      <c r="CZ49" s="92">
        <f t="shared" si="110"/>
        <v>0</v>
      </c>
      <c r="DA49" s="92">
        <f t="shared" si="110"/>
        <v>0</v>
      </c>
      <c r="DB49" s="92">
        <f t="shared" si="110"/>
        <v>0</v>
      </c>
      <c r="DC49" s="92">
        <f t="shared" si="110"/>
        <v>0</v>
      </c>
      <c r="DD49" s="92">
        <f t="shared" si="110"/>
        <v>0</v>
      </c>
      <c r="DE49" s="92">
        <f t="shared" si="110"/>
        <v>0</v>
      </c>
      <c r="DF49" s="92">
        <f t="shared" si="110"/>
        <v>0</v>
      </c>
      <c r="DG49" s="92">
        <f t="shared" si="110"/>
        <v>0</v>
      </c>
      <c r="DH49" s="92">
        <f t="shared" si="110"/>
        <v>0</v>
      </c>
      <c r="DI49" s="92">
        <f t="shared" si="110"/>
        <v>0</v>
      </c>
      <c r="DJ49" s="92">
        <f t="shared" si="110"/>
        <v>0</v>
      </c>
      <c r="DK49" s="92">
        <f t="shared" si="110"/>
        <v>0</v>
      </c>
      <c r="DL49" s="92">
        <f t="shared" si="110"/>
        <v>0</v>
      </c>
      <c r="DM49" s="92">
        <f t="shared" si="110"/>
        <v>0</v>
      </c>
      <c r="DN49" s="92">
        <f t="shared" si="110"/>
        <v>0</v>
      </c>
      <c r="DO49" s="92">
        <f t="shared" si="110"/>
        <v>0</v>
      </c>
      <c r="DP49" s="92">
        <f>SUM(DP50:DP51)</f>
        <v>0</v>
      </c>
      <c r="DQ49" s="92">
        <f>SUM(DQ50:DQ51)</f>
        <v>0</v>
      </c>
      <c r="DR49" s="92">
        <f>SUM(DR50:DR51)</f>
        <v>0</v>
      </c>
      <c r="DS49" s="83">
        <f>SUM(CU49,CX49,DA49,DD49,DJ49)</f>
        <v>0</v>
      </c>
      <c r="DT49" s="83">
        <f>SUM(CV49,CY49,DB49,DE49,DK49)</f>
        <v>0</v>
      </c>
      <c r="DU49" s="83">
        <f>SUM(CW49,CZ49,DC49,DF49,DL49)</f>
        <v>0</v>
      </c>
      <c r="DV49" s="92">
        <f>SUM(DV50:DV51)</f>
        <v>0</v>
      </c>
      <c r="DW49" s="92">
        <f>SUM(DW50:DW51)</f>
        <v>0</v>
      </c>
      <c r="DX49" s="92">
        <f t="shared" ref="DX49:EG49" si="111">SUM(DX50:DX51)</f>
        <v>0</v>
      </c>
      <c r="DY49" s="92">
        <f>SUM(DY50:DY51)</f>
        <v>0</v>
      </c>
      <c r="DZ49" s="92">
        <f>SUM(DZ50:DZ51)</f>
        <v>0</v>
      </c>
      <c r="EA49" s="92">
        <f>SUM(EA50:EA51)</f>
        <v>0</v>
      </c>
      <c r="EB49" s="92">
        <f>SUM(EB50:EB51)</f>
        <v>0</v>
      </c>
      <c r="EC49" s="92">
        <f t="shared" si="111"/>
        <v>0</v>
      </c>
      <c r="ED49" s="92">
        <f t="shared" si="111"/>
        <v>0</v>
      </c>
      <c r="EE49" s="105">
        <f t="shared" si="111"/>
        <v>0</v>
      </c>
      <c r="EF49" s="105">
        <f t="shared" si="111"/>
        <v>0</v>
      </c>
      <c r="EG49" s="105">
        <f t="shared" si="111"/>
        <v>0</v>
      </c>
      <c r="EH49" s="106" t="s">
        <v>134</v>
      </c>
      <c r="EO49" s="2"/>
      <c r="EP49" s="2"/>
      <c r="EQ49" s="2"/>
      <c r="ER49" s="61"/>
      <c r="ES49" s="2"/>
      <c r="ET49" s="2"/>
      <c r="EU49" s="2"/>
    </row>
    <row r="50" spans="1:151">
      <c r="A50" s="33" t="s">
        <v>135</v>
      </c>
      <c r="B50" s="34" t="s">
        <v>136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f t="shared" ref="I50:K54" si="112">SUM(C50,F50)</f>
        <v>0</v>
      </c>
      <c r="J50" s="81">
        <f t="shared" si="112"/>
        <v>0</v>
      </c>
      <c r="K50" s="81">
        <f t="shared" si="112"/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7">
        <f t="shared" ref="R50:T54" si="113">SUM(L50,O50)</f>
        <v>0</v>
      </c>
      <c r="S50" s="87">
        <f t="shared" si="113"/>
        <v>0</v>
      </c>
      <c r="T50" s="87">
        <f t="shared" si="113"/>
        <v>0</v>
      </c>
      <c r="U50" s="81">
        <v>0</v>
      </c>
      <c r="V50" s="81"/>
      <c r="W50" s="81">
        <v>0</v>
      </c>
      <c r="X50" s="81">
        <v>0</v>
      </c>
      <c r="Y50" s="81">
        <v>0</v>
      </c>
      <c r="Z50" s="81">
        <v>0</v>
      </c>
      <c r="AA50" s="87">
        <f t="shared" ref="AA50:AC54" si="114">U50+X50</f>
        <v>0</v>
      </c>
      <c r="AB50" s="87">
        <f t="shared" si="114"/>
        <v>0</v>
      </c>
      <c r="AC50" s="87">
        <f t="shared" si="114"/>
        <v>0</v>
      </c>
      <c r="AD50" s="81">
        <v>0</v>
      </c>
      <c r="AE50" s="81">
        <v>0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81">
        <v>0</v>
      </c>
      <c r="AL50" s="81">
        <v>0</v>
      </c>
      <c r="AM50" s="87">
        <f t="shared" ref="AM50:AO54" si="115">AD50+AG50+AJ50</f>
        <v>0</v>
      </c>
      <c r="AN50" s="87">
        <f t="shared" si="115"/>
        <v>0</v>
      </c>
      <c r="AO50" s="87">
        <f t="shared" si="115"/>
        <v>0</v>
      </c>
      <c r="AP50" s="81">
        <v>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1">
        <v>0</v>
      </c>
      <c r="AW50" s="81">
        <v>0</v>
      </c>
      <c r="AX50" s="81">
        <v>0</v>
      </c>
      <c r="AY50" s="81">
        <v>0</v>
      </c>
      <c r="AZ50" s="81">
        <v>0</v>
      </c>
      <c r="BA50" s="81">
        <v>0</v>
      </c>
      <c r="BB50" s="81">
        <v>0</v>
      </c>
      <c r="BC50" s="81">
        <v>0</v>
      </c>
      <c r="BD50" s="81">
        <v>0</v>
      </c>
      <c r="BE50" s="81">
        <v>0</v>
      </c>
      <c r="BF50" s="81">
        <v>0</v>
      </c>
      <c r="BG50" s="81">
        <v>0</v>
      </c>
      <c r="BH50" s="81">
        <v>0</v>
      </c>
      <c r="BI50" s="81">
        <v>0</v>
      </c>
      <c r="BJ50" s="81">
        <v>0</v>
      </c>
      <c r="BK50" s="81">
        <v>0</v>
      </c>
      <c r="BL50" s="81">
        <v>0</v>
      </c>
      <c r="BM50" s="81">
        <v>0</v>
      </c>
      <c r="BN50" s="81">
        <v>0</v>
      </c>
      <c r="BO50" s="81">
        <v>0</v>
      </c>
      <c r="BP50" s="81">
        <v>0</v>
      </c>
      <c r="BQ50" s="81">
        <v>0</v>
      </c>
      <c r="BR50" s="81">
        <v>0</v>
      </c>
      <c r="BS50" s="81">
        <v>0</v>
      </c>
      <c r="BT50" s="81">
        <v>0</v>
      </c>
      <c r="BU50" s="81">
        <v>0</v>
      </c>
      <c r="BV50" s="81">
        <v>0</v>
      </c>
      <c r="BW50" s="87">
        <f t="shared" ref="BW50:BY54" si="116">SUM(AP50,AS50,AV50,AY50,BB50,BE50,BH50,BK50,BN50,BQ50,BT50)</f>
        <v>0</v>
      </c>
      <c r="BX50" s="87">
        <f t="shared" si="116"/>
        <v>0</v>
      </c>
      <c r="BY50" s="87">
        <f t="shared" si="116"/>
        <v>0</v>
      </c>
      <c r="BZ50" s="81">
        <v>0</v>
      </c>
      <c r="CA50" s="81">
        <v>0</v>
      </c>
      <c r="CB50" s="81">
        <v>0</v>
      </c>
      <c r="CC50" s="81">
        <v>0</v>
      </c>
      <c r="CD50" s="81">
        <v>0</v>
      </c>
      <c r="CE50" s="81">
        <v>0</v>
      </c>
      <c r="CF50" s="81">
        <v>0</v>
      </c>
      <c r="CG50" s="81">
        <v>0</v>
      </c>
      <c r="CH50" s="81">
        <v>0</v>
      </c>
      <c r="CI50" s="81">
        <v>0</v>
      </c>
      <c r="CJ50" s="81">
        <v>0</v>
      </c>
      <c r="CK50" s="81">
        <v>0</v>
      </c>
      <c r="CL50" s="81">
        <v>0</v>
      </c>
      <c r="CM50" s="81">
        <v>0</v>
      </c>
      <c r="CN50" s="81">
        <v>0</v>
      </c>
      <c r="CO50" s="81">
        <v>0</v>
      </c>
      <c r="CP50" s="81">
        <v>0</v>
      </c>
      <c r="CQ50" s="81">
        <v>0</v>
      </c>
      <c r="CR50" s="81">
        <f t="shared" ref="CR50:CT54" si="117">SUM(BZ50,CC50,CF50,CI50,CL50,CO50)</f>
        <v>0</v>
      </c>
      <c r="CS50" s="81">
        <f t="shared" si="117"/>
        <v>0</v>
      </c>
      <c r="CT50" s="81">
        <f t="shared" si="117"/>
        <v>0</v>
      </c>
      <c r="CU50" s="81">
        <v>0</v>
      </c>
      <c r="CV50" s="81">
        <v>0</v>
      </c>
      <c r="CW50" s="81">
        <v>0</v>
      </c>
      <c r="CX50" s="81">
        <v>0</v>
      </c>
      <c r="CY50" s="81">
        <v>0</v>
      </c>
      <c r="CZ50" s="81">
        <v>0</v>
      </c>
      <c r="DA50" s="81"/>
      <c r="DB50" s="81"/>
      <c r="DC50" s="81"/>
      <c r="DD50" s="81">
        <v>0</v>
      </c>
      <c r="DE50" s="81">
        <v>0</v>
      </c>
      <c r="DF50" s="81">
        <v>0</v>
      </c>
      <c r="DG50" s="81">
        <v>0</v>
      </c>
      <c r="DH50" s="81">
        <v>0</v>
      </c>
      <c r="DI50" s="81">
        <v>0</v>
      </c>
      <c r="DJ50" s="81">
        <f t="shared" ref="DJ50:DL54" si="118">SUM(DM50,DP50)</f>
        <v>0</v>
      </c>
      <c r="DK50" s="81">
        <f t="shared" si="118"/>
        <v>0</v>
      </c>
      <c r="DL50" s="81">
        <f t="shared" si="118"/>
        <v>0</v>
      </c>
      <c r="DM50" s="81">
        <v>0</v>
      </c>
      <c r="DN50" s="81">
        <v>0</v>
      </c>
      <c r="DO50" s="81">
        <v>0</v>
      </c>
      <c r="DP50" s="81">
        <v>0</v>
      </c>
      <c r="DQ50" s="81">
        <v>0</v>
      </c>
      <c r="DR50" s="81">
        <v>0</v>
      </c>
      <c r="DS50" s="81">
        <f t="shared" ref="DS50:DU54" si="119">SUM(CU50,CX50,DA50,DD50,DG50,DJ50)</f>
        <v>0</v>
      </c>
      <c r="DT50" s="81">
        <f t="shared" si="119"/>
        <v>0</v>
      </c>
      <c r="DU50" s="81">
        <f t="shared" si="119"/>
        <v>0</v>
      </c>
      <c r="DV50" s="81">
        <v>0</v>
      </c>
      <c r="DW50" s="81">
        <v>0</v>
      </c>
      <c r="DX50" s="81">
        <v>0</v>
      </c>
      <c r="DY50" s="81">
        <v>0</v>
      </c>
      <c r="DZ50" s="81">
        <v>0</v>
      </c>
      <c r="EA50" s="81">
        <v>0</v>
      </c>
      <c r="EB50" s="81">
        <f t="shared" ref="EB50:ED53" si="120">SUM(DV50,DY50)</f>
        <v>0</v>
      </c>
      <c r="EC50" s="81">
        <f t="shared" si="120"/>
        <v>0</v>
      </c>
      <c r="ED50" s="81">
        <f t="shared" si="120"/>
        <v>0</v>
      </c>
      <c r="EE50" s="87">
        <f t="shared" ref="EE50:EG54" si="121">SUM(I50,R50,AA50,AM50,BW50,CR50,DS50,EB50)</f>
        <v>0</v>
      </c>
      <c r="EF50" s="87">
        <f t="shared" si="121"/>
        <v>0</v>
      </c>
      <c r="EG50" s="87">
        <f t="shared" si="121"/>
        <v>0</v>
      </c>
      <c r="EH50" s="96" t="s">
        <v>136</v>
      </c>
    </row>
    <row r="51" spans="1:151">
      <c r="A51" s="33" t="s">
        <v>137</v>
      </c>
      <c r="B51" s="34" t="s">
        <v>138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f t="shared" si="112"/>
        <v>0</v>
      </c>
      <c r="J51" s="81">
        <f t="shared" si="112"/>
        <v>0</v>
      </c>
      <c r="K51" s="81">
        <f t="shared" si="112"/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7">
        <f t="shared" si="113"/>
        <v>0</v>
      </c>
      <c r="S51" s="87">
        <f t="shared" si="113"/>
        <v>0</v>
      </c>
      <c r="T51" s="87">
        <f t="shared" si="113"/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7">
        <f t="shared" si="114"/>
        <v>0</v>
      </c>
      <c r="AB51" s="87">
        <f t="shared" si="114"/>
        <v>0</v>
      </c>
      <c r="AC51" s="87">
        <f t="shared" si="114"/>
        <v>0</v>
      </c>
      <c r="AD51" s="81">
        <v>0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1">
        <v>0</v>
      </c>
      <c r="AK51" s="81">
        <v>0</v>
      </c>
      <c r="AL51" s="81">
        <v>0</v>
      </c>
      <c r="AM51" s="87">
        <f t="shared" si="115"/>
        <v>0</v>
      </c>
      <c r="AN51" s="87">
        <f t="shared" si="115"/>
        <v>0</v>
      </c>
      <c r="AO51" s="87">
        <f t="shared" si="115"/>
        <v>0</v>
      </c>
      <c r="AP51" s="81">
        <v>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1">
        <v>0</v>
      </c>
      <c r="AW51" s="81">
        <v>0</v>
      </c>
      <c r="AX51" s="81">
        <v>0</v>
      </c>
      <c r="AY51" s="81">
        <v>0</v>
      </c>
      <c r="AZ51" s="81">
        <v>0</v>
      </c>
      <c r="BA51" s="81">
        <v>0</v>
      </c>
      <c r="BB51" s="81">
        <v>0</v>
      </c>
      <c r="BC51" s="81">
        <v>0</v>
      </c>
      <c r="BD51" s="81">
        <v>0</v>
      </c>
      <c r="BE51" s="81">
        <v>0</v>
      </c>
      <c r="BF51" s="81">
        <v>0</v>
      </c>
      <c r="BG51" s="81">
        <v>0</v>
      </c>
      <c r="BH51" s="81">
        <v>0</v>
      </c>
      <c r="BI51" s="81">
        <v>0</v>
      </c>
      <c r="BJ51" s="81">
        <v>0</v>
      </c>
      <c r="BK51" s="81">
        <v>0</v>
      </c>
      <c r="BL51" s="81">
        <v>0</v>
      </c>
      <c r="BM51" s="81">
        <v>0</v>
      </c>
      <c r="BN51" s="81">
        <v>0</v>
      </c>
      <c r="BO51" s="81">
        <v>0</v>
      </c>
      <c r="BP51" s="81">
        <v>0</v>
      </c>
      <c r="BQ51" s="81">
        <v>0</v>
      </c>
      <c r="BR51" s="81">
        <v>0</v>
      </c>
      <c r="BS51" s="81">
        <v>0</v>
      </c>
      <c r="BT51" s="81">
        <v>0</v>
      </c>
      <c r="BU51" s="81">
        <v>0</v>
      </c>
      <c r="BV51" s="81">
        <v>0</v>
      </c>
      <c r="BW51" s="87">
        <f t="shared" si="116"/>
        <v>0</v>
      </c>
      <c r="BX51" s="87">
        <f t="shared" si="116"/>
        <v>0</v>
      </c>
      <c r="BY51" s="87">
        <f t="shared" si="116"/>
        <v>0</v>
      </c>
      <c r="BZ51" s="81">
        <v>0</v>
      </c>
      <c r="CA51" s="81">
        <v>0</v>
      </c>
      <c r="CB51" s="81">
        <v>0</v>
      </c>
      <c r="CC51" s="81">
        <v>0</v>
      </c>
      <c r="CD51" s="81">
        <v>0</v>
      </c>
      <c r="CE51" s="81">
        <v>0</v>
      </c>
      <c r="CF51" s="81">
        <v>0</v>
      </c>
      <c r="CG51" s="81">
        <v>0</v>
      </c>
      <c r="CH51" s="81">
        <v>0</v>
      </c>
      <c r="CI51" s="81">
        <v>0</v>
      </c>
      <c r="CJ51" s="81">
        <v>0</v>
      </c>
      <c r="CK51" s="81">
        <v>0</v>
      </c>
      <c r="CL51" s="81">
        <v>0</v>
      </c>
      <c r="CM51" s="81">
        <v>0</v>
      </c>
      <c r="CN51" s="81">
        <v>0</v>
      </c>
      <c r="CO51" s="81">
        <v>0</v>
      </c>
      <c r="CP51" s="81">
        <v>0</v>
      </c>
      <c r="CQ51" s="81">
        <v>0</v>
      </c>
      <c r="CR51" s="81">
        <f t="shared" si="117"/>
        <v>0</v>
      </c>
      <c r="CS51" s="81">
        <f t="shared" si="117"/>
        <v>0</v>
      </c>
      <c r="CT51" s="81">
        <f t="shared" si="117"/>
        <v>0</v>
      </c>
      <c r="CU51" s="81">
        <v>0</v>
      </c>
      <c r="CV51" s="81">
        <v>0</v>
      </c>
      <c r="CW51" s="81">
        <v>0</v>
      </c>
      <c r="CX51" s="81">
        <v>0</v>
      </c>
      <c r="CY51" s="81">
        <v>0</v>
      </c>
      <c r="CZ51" s="81">
        <v>0</v>
      </c>
      <c r="DA51" s="81">
        <v>0</v>
      </c>
      <c r="DB51" s="81">
        <v>0</v>
      </c>
      <c r="DC51" s="81">
        <v>0</v>
      </c>
      <c r="DD51" s="81">
        <v>0</v>
      </c>
      <c r="DE51" s="81">
        <v>0</v>
      </c>
      <c r="DF51" s="81">
        <v>0</v>
      </c>
      <c r="DG51" s="81">
        <v>0</v>
      </c>
      <c r="DH51" s="81">
        <v>0</v>
      </c>
      <c r="DI51" s="81">
        <v>0</v>
      </c>
      <c r="DJ51" s="81">
        <f t="shared" si="118"/>
        <v>0</v>
      </c>
      <c r="DK51" s="81">
        <f t="shared" si="118"/>
        <v>0</v>
      </c>
      <c r="DL51" s="81">
        <f t="shared" si="118"/>
        <v>0</v>
      </c>
      <c r="DM51" s="81">
        <v>0</v>
      </c>
      <c r="DN51" s="81">
        <v>0</v>
      </c>
      <c r="DO51" s="81">
        <v>0</v>
      </c>
      <c r="DP51" s="81">
        <v>0</v>
      </c>
      <c r="DQ51" s="81">
        <v>0</v>
      </c>
      <c r="DR51" s="81">
        <v>0</v>
      </c>
      <c r="DS51" s="81">
        <f t="shared" si="119"/>
        <v>0</v>
      </c>
      <c r="DT51" s="81">
        <f t="shared" si="119"/>
        <v>0</v>
      </c>
      <c r="DU51" s="81">
        <f t="shared" si="119"/>
        <v>0</v>
      </c>
      <c r="DV51" s="81">
        <v>0</v>
      </c>
      <c r="DW51" s="81">
        <v>0</v>
      </c>
      <c r="DX51" s="81">
        <v>0</v>
      </c>
      <c r="DY51" s="81">
        <v>0</v>
      </c>
      <c r="DZ51" s="81">
        <v>0</v>
      </c>
      <c r="EA51" s="81">
        <v>0</v>
      </c>
      <c r="EB51" s="81">
        <f t="shared" si="120"/>
        <v>0</v>
      </c>
      <c r="EC51" s="81">
        <f t="shared" si="120"/>
        <v>0</v>
      </c>
      <c r="ED51" s="81">
        <f t="shared" si="120"/>
        <v>0</v>
      </c>
      <c r="EE51" s="87">
        <f t="shared" si="121"/>
        <v>0</v>
      </c>
      <c r="EF51" s="87">
        <f t="shared" si="121"/>
        <v>0</v>
      </c>
      <c r="EG51" s="87">
        <f t="shared" si="121"/>
        <v>0</v>
      </c>
      <c r="EH51" s="96" t="s">
        <v>138</v>
      </c>
    </row>
    <row r="52" spans="1:151" s="32" customFormat="1">
      <c r="A52" s="39" t="s">
        <v>139</v>
      </c>
      <c r="B52" s="25" t="s">
        <v>140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1">
        <f t="shared" si="112"/>
        <v>0</v>
      </c>
      <c r="J52" s="81">
        <f t="shared" si="112"/>
        <v>0</v>
      </c>
      <c r="K52" s="81">
        <f t="shared" si="112"/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7">
        <f t="shared" si="113"/>
        <v>0</v>
      </c>
      <c r="S52" s="87">
        <f t="shared" si="113"/>
        <v>0</v>
      </c>
      <c r="T52" s="87">
        <f t="shared" si="113"/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91">
        <f t="shared" si="114"/>
        <v>0</v>
      </c>
      <c r="AB52" s="91">
        <f t="shared" si="114"/>
        <v>0</v>
      </c>
      <c r="AC52" s="91">
        <f t="shared" si="114"/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0</v>
      </c>
      <c r="AM52" s="92">
        <f t="shared" si="115"/>
        <v>0</v>
      </c>
      <c r="AN52" s="92">
        <f t="shared" si="115"/>
        <v>0</v>
      </c>
      <c r="AO52" s="92">
        <f t="shared" si="115"/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0</v>
      </c>
      <c r="AZ52" s="86">
        <v>0</v>
      </c>
      <c r="BA52" s="86">
        <v>0</v>
      </c>
      <c r="BB52" s="86">
        <v>0</v>
      </c>
      <c r="BC52" s="86">
        <v>0</v>
      </c>
      <c r="BD52" s="86">
        <v>0</v>
      </c>
      <c r="BE52" s="86">
        <v>0</v>
      </c>
      <c r="BF52" s="86">
        <v>0</v>
      </c>
      <c r="BG52" s="86">
        <v>0</v>
      </c>
      <c r="BH52" s="86">
        <v>0</v>
      </c>
      <c r="BI52" s="86">
        <v>0</v>
      </c>
      <c r="BJ52" s="86">
        <v>0</v>
      </c>
      <c r="BK52" s="86">
        <v>0</v>
      </c>
      <c r="BL52" s="86">
        <v>0</v>
      </c>
      <c r="BM52" s="86">
        <v>0</v>
      </c>
      <c r="BN52" s="86">
        <v>0</v>
      </c>
      <c r="BO52" s="86">
        <v>0</v>
      </c>
      <c r="BP52" s="86">
        <v>0</v>
      </c>
      <c r="BQ52" s="86">
        <v>0</v>
      </c>
      <c r="BR52" s="86">
        <v>0</v>
      </c>
      <c r="BS52" s="86">
        <v>0</v>
      </c>
      <c r="BT52" s="86">
        <v>0</v>
      </c>
      <c r="BU52" s="86">
        <v>0</v>
      </c>
      <c r="BV52" s="86">
        <v>0</v>
      </c>
      <c r="BW52" s="87">
        <f t="shared" si="116"/>
        <v>0</v>
      </c>
      <c r="BX52" s="87">
        <f t="shared" si="116"/>
        <v>0</v>
      </c>
      <c r="BY52" s="87">
        <f t="shared" si="116"/>
        <v>0</v>
      </c>
      <c r="BZ52" s="83">
        <f>490000-10000+5000</f>
        <v>485000</v>
      </c>
      <c r="CA52" s="86">
        <v>485000</v>
      </c>
      <c r="CB52" s="86">
        <f>540000-40000</f>
        <v>500000</v>
      </c>
      <c r="CC52" s="86">
        <v>0</v>
      </c>
      <c r="CD52" s="86">
        <v>0</v>
      </c>
      <c r="CE52" s="86">
        <v>0</v>
      </c>
      <c r="CF52" s="86">
        <v>0</v>
      </c>
      <c r="CG52" s="86">
        <v>0</v>
      </c>
      <c r="CH52" s="86">
        <v>0</v>
      </c>
      <c r="CI52" s="86">
        <v>0</v>
      </c>
      <c r="CJ52" s="86">
        <v>0</v>
      </c>
      <c r="CK52" s="86">
        <v>0</v>
      </c>
      <c r="CL52" s="86">
        <v>0</v>
      </c>
      <c r="CM52" s="86">
        <v>0</v>
      </c>
      <c r="CN52" s="86">
        <v>0</v>
      </c>
      <c r="CO52" s="86">
        <v>0</v>
      </c>
      <c r="CP52" s="86">
        <v>0</v>
      </c>
      <c r="CQ52" s="86">
        <v>0</v>
      </c>
      <c r="CR52" s="83">
        <f t="shared" si="117"/>
        <v>485000</v>
      </c>
      <c r="CS52" s="83">
        <f t="shared" si="117"/>
        <v>485000</v>
      </c>
      <c r="CT52" s="83">
        <f t="shared" si="117"/>
        <v>500000</v>
      </c>
      <c r="CU52" s="86">
        <v>0</v>
      </c>
      <c r="CV52" s="86">
        <v>0</v>
      </c>
      <c r="CW52" s="86">
        <v>0</v>
      </c>
      <c r="CX52" s="86">
        <v>0</v>
      </c>
      <c r="CY52" s="86">
        <v>0</v>
      </c>
      <c r="CZ52" s="86">
        <v>0</v>
      </c>
      <c r="DA52" s="86">
        <v>0</v>
      </c>
      <c r="DB52" s="86">
        <v>0</v>
      </c>
      <c r="DC52" s="86">
        <v>0</v>
      </c>
      <c r="DD52" s="86">
        <v>0</v>
      </c>
      <c r="DE52" s="86">
        <v>0</v>
      </c>
      <c r="DF52" s="86">
        <v>0</v>
      </c>
      <c r="DG52" s="86">
        <v>0</v>
      </c>
      <c r="DH52" s="86">
        <v>0</v>
      </c>
      <c r="DI52" s="86">
        <v>0</v>
      </c>
      <c r="DJ52" s="83">
        <f t="shared" si="118"/>
        <v>0</v>
      </c>
      <c r="DK52" s="83">
        <f t="shared" si="118"/>
        <v>0</v>
      </c>
      <c r="DL52" s="83">
        <f t="shared" si="118"/>
        <v>0</v>
      </c>
      <c r="DM52" s="86">
        <v>0</v>
      </c>
      <c r="DN52" s="86">
        <v>0</v>
      </c>
      <c r="DO52" s="86">
        <v>0</v>
      </c>
      <c r="DP52" s="86">
        <v>0</v>
      </c>
      <c r="DQ52" s="86">
        <v>0</v>
      </c>
      <c r="DR52" s="86">
        <v>0</v>
      </c>
      <c r="DS52" s="83">
        <f t="shared" si="119"/>
        <v>0</v>
      </c>
      <c r="DT52" s="83">
        <f t="shared" si="119"/>
        <v>0</v>
      </c>
      <c r="DU52" s="83">
        <f t="shared" si="119"/>
        <v>0</v>
      </c>
      <c r="DV52" s="86">
        <v>0</v>
      </c>
      <c r="DW52" s="86">
        <v>0</v>
      </c>
      <c r="DX52" s="86">
        <v>0</v>
      </c>
      <c r="DY52" s="86">
        <v>0</v>
      </c>
      <c r="DZ52" s="86">
        <v>0</v>
      </c>
      <c r="EA52" s="86">
        <v>0</v>
      </c>
      <c r="EB52" s="81">
        <f t="shared" si="120"/>
        <v>0</v>
      </c>
      <c r="EC52" s="81">
        <f t="shared" si="120"/>
        <v>0</v>
      </c>
      <c r="ED52" s="81">
        <f t="shared" si="120"/>
        <v>0</v>
      </c>
      <c r="EE52" s="92">
        <f t="shared" si="121"/>
        <v>485000</v>
      </c>
      <c r="EF52" s="92">
        <f t="shared" si="121"/>
        <v>485000</v>
      </c>
      <c r="EG52" s="92">
        <f t="shared" si="121"/>
        <v>500000</v>
      </c>
      <c r="EH52" s="94" t="s">
        <v>140</v>
      </c>
      <c r="EO52" s="2"/>
      <c r="EP52" s="2"/>
      <c r="EQ52" s="2"/>
      <c r="ER52" s="61"/>
      <c r="ES52" s="2"/>
      <c r="ET52" s="2"/>
      <c r="EU52" s="2"/>
    </row>
    <row r="53" spans="1:151" s="32" customFormat="1">
      <c r="A53" s="39" t="s">
        <v>141</v>
      </c>
      <c r="B53" s="25" t="s">
        <v>142</v>
      </c>
      <c r="C53" s="92">
        <v>21200</v>
      </c>
      <c r="D53" s="86">
        <v>21200</v>
      </c>
      <c r="E53" s="86">
        <v>26500</v>
      </c>
      <c r="F53" s="86">
        <v>1000</v>
      </c>
      <c r="G53" s="86">
        <v>1000</v>
      </c>
      <c r="H53" s="86">
        <v>1000</v>
      </c>
      <c r="I53" s="83">
        <f t="shared" si="112"/>
        <v>22200</v>
      </c>
      <c r="J53" s="83">
        <f t="shared" si="112"/>
        <v>22200</v>
      </c>
      <c r="K53" s="83">
        <f t="shared" si="112"/>
        <v>27500</v>
      </c>
      <c r="L53" s="86"/>
      <c r="M53" s="86"/>
      <c r="N53" s="86"/>
      <c r="O53" s="86"/>
      <c r="P53" s="86"/>
      <c r="Q53" s="86"/>
      <c r="R53" s="87">
        <f t="shared" si="113"/>
        <v>0</v>
      </c>
      <c r="S53" s="87">
        <f t="shared" si="113"/>
        <v>0</v>
      </c>
      <c r="T53" s="87">
        <f t="shared" si="113"/>
        <v>0</v>
      </c>
      <c r="U53" s="86">
        <v>0</v>
      </c>
      <c r="V53" s="86">
        <v>0</v>
      </c>
      <c r="W53" s="86">
        <v>0</v>
      </c>
      <c r="X53" s="86"/>
      <c r="Y53" s="86"/>
      <c r="Z53" s="86"/>
      <c r="AA53" s="91">
        <f t="shared" si="114"/>
        <v>0</v>
      </c>
      <c r="AB53" s="91">
        <f t="shared" si="114"/>
        <v>0</v>
      </c>
      <c r="AC53" s="91">
        <f t="shared" si="114"/>
        <v>0</v>
      </c>
      <c r="AD53" s="86"/>
      <c r="AE53" s="86"/>
      <c r="AF53" s="86"/>
      <c r="AG53" s="86"/>
      <c r="AH53" s="86"/>
      <c r="AI53" s="86"/>
      <c r="AJ53" s="86"/>
      <c r="AK53" s="86"/>
      <c r="AL53" s="86"/>
      <c r="AM53" s="92">
        <f t="shared" si="115"/>
        <v>0</v>
      </c>
      <c r="AN53" s="92">
        <f t="shared" si="115"/>
        <v>0</v>
      </c>
      <c r="AO53" s="92">
        <f t="shared" si="115"/>
        <v>0</v>
      </c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7">
        <f t="shared" si="116"/>
        <v>0</v>
      </c>
      <c r="BX53" s="87">
        <f t="shared" si="116"/>
        <v>0</v>
      </c>
      <c r="BY53" s="87">
        <f t="shared" si="116"/>
        <v>0</v>
      </c>
      <c r="BZ53" s="83"/>
      <c r="CA53" s="86"/>
      <c r="CB53" s="86"/>
      <c r="CC53" s="86"/>
      <c r="CD53" s="86"/>
      <c r="CE53" s="86"/>
      <c r="CF53" s="86">
        <v>60</v>
      </c>
      <c r="CG53" s="86">
        <v>60</v>
      </c>
      <c r="CH53" s="86">
        <v>100</v>
      </c>
      <c r="CI53" s="86"/>
      <c r="CJ53" s="86"/>
      <c r="CK53" s="86"/>
      <c r="CL53" s="86"/>
      <c r="CM53" s="86"/>
      <c r="CN53" s="86"/>
      <c r="CO53" s="86"/>
      <c r="CP53" s="86"/>
      <c r="CQ53" s="86"/>
      <c r="CR53" s="83">
        <f t="shared" si="117"/>
        <v>60</v>
      </c>
      <c r="CS53" s="83">
        <f t="shared" si="117"/>
        <v>60</v>
      </c>
      <c r="CT53" s="83">
        <f t="shared" si="117"/>
        <v>100</v>
      </c>
      <c r="CU53" s="86"/>
      <c r="CV53" s="86"/>
      <c r="CW53" s="86"/>
      <c r="CX53" s="86"/>
      <c r="CY53" s="86"/>
      <c r="CZ53" s="86"/>
      <c r="DA53" s="86"/>
      <c r="DB53" s="86"/>
      <c r="DC53" s="86"/>
      <c r="DD53" s="86">
        <v>100</v>
      </c>
      <c r="DE53" s="86">
        <v>100</v>
      </c>
      <c r="DF53" s="86">
        <v>100</v>
      </c>
      <c r="DG53" s="86"/>
      <c r="DH53" s="86"/>
      <c r="DI53" s="86"/>
      <c r="DJ53" s="83">
        <f t="shared" si="118"/>
        <v>5000</v>
      </c>
      <c r="DK53" s="83">
        <f t="shared" si="118"/>
        <v>5000</v>
      </c>
      <c r="DL53" s="83">
        <f t="shared" si="118"/>
        <v>5000</v>
      </c>
      <c r="DM53" s="83">
        <v>5000</v>
      </c>
      <c r="DN53" s="86">
        <v>5000</v>
      </c>
      <c r="DO53" s="86">
        <v>5000</v>
      </c>
      <c r="DP53" s="86"/>
      <c r="DQ53" s="86"/>
      <c r="DR53" s="86"/>
      <c r="DS53" s="83">
        <f t="shared" si="119"/>
        <v>5100</v>
      </c>
      <c r="DT53" s="83">
        <f t="shared" si="119"/>
        <v>5100</v>
      </c>
      <c r="DU53" s="83">
        <f t="shared" si="119"/>
        <v>5100</v>
      </c>
      <c r="DV53" s="86"/>
      <c r="DW53" s="86"/>
      <c r="DX53" s="86"/>
      <c r="DY53" s="86"/>
      <c r="DZ53" s="86"/>
      <c r="EA53" s="86"/>
      <c r="EB53" s="81">
        <f t="shared" si="120"/>
        <v>0</v>
      </c>
      <c r="EC53" s="81">
        <f t="shared" si="120"/>
        <v>0</v>
      </c>
      <c r="ED53" s="81">
        <f t="shared" si="120"/>
        <v>0</v>
      </c>
      <c r="EE53" s="92">
        <f t="shared" si="121"/>
        <v>27360</v>
      </c>
      <c r="EF53" s="92">
        <f t="shared" si="121"/>
        <v>27360</v>
      </c>
      <c r="EG53" s="92">
        <f t="shared" si="121"/>
        <v>32700</v>
      </c>
      <c r="EH53" s="94" t="s">
        <v>142</v>
      </c>
      <c r="EO53" s="2"/>
      <c r="EP53" s="2"/>
      <c r="EQ53" s="2"/>
      <c r="ER53" s="61"/>
      <c r="ES53" s="2"/>
      <c r="ET53" s="2"/>
      <c r="EU53" s="2"/>
    </row>
    <row r="54" spans="1:151" s="32" customFormat="1">
      <c r="A54" s="39" t="s">
        <v>143</v>
      </c>
      <c r="B54" s="25" t="s">
        <v>144</v>
      </c>
      <c r="C54" s="86"/>
      <c r="D54" s="86"/>
      <c r="E54" s="86">
        <v>120000</v>
      </c>
      <c r="F54" s="86"/>
      <c r="G54" s="86"/>
      <c r="H54" s="86"/>
      <c r="I54" s="83">
        <f t="shared" si="112"/>
        <v>0</v>
      </c>
      <c r="J54" s="83">
        <f t="shared" si="112"/>
        <v>0</v>
      </c>
      <c r="K54" s="83">
        <f t="shared" si="112"/>
        <v>120000</v>
      </c>
      <c r="L54" s="83">
        <v>94895</v>
      </c>
      <c r="M54" s="86">
        <v>94895</v>
      </c>
      <c r="N54" s="86">
        <v>195000</v>
      </c>
      <c r="O54" s="86"/>
      <c r="P54" s="86"/>
      <c r="Q54" s="86"/>
      <c r="R54" s="92">
        <f t="shared" si="113"/>
        <v>94895</v>
      </c>
      <c r="S54" s="92">
        <f t="shared" si="113"/>
        <v>94895</v>
      </c>
      <c r="T54" s="92">
        <f t="shared" si="113"/>
        <v>195000</v>
      </c>
      <c r="U54" s="86">
        <v>0</v>
      </c>
      <c r="V54" s="86">
        <v>0</v>
      </c>
      <c r="W54" s="86">
        <v>0</v>
      </c>
      <c r="X54" s="86"/>
      <c r="Y54" s="86"/>
      <c r="Z54" s="86"/>
      <c r="AA54" s="91">
        <f t="shared" si="114"/>
        <v>0</v>
      </c>
      <c r="AB54" s="91">
        <f t="shared" si="114"/>
        <v>0</v>
      </c>
      <c r="AC54" s="91">
        <f t="shared" si="114"/>
        <v>0</v>
      </c>
      <c r="AD54" s="86"/>
      <c r="AE54" s="86"/>
      <c r="AF54" s="86"/>
      <c r="AG54" s="86"/>
      <c r="AH54" s="86"/>
      <c r="AI54" s="86"/>
      <c r="AJ54" s="86"/>
      <c r="AK54" s="86"/>
      <c r="AL54" s="86"/>
      <c r="AM54" s="92">
        <f t="shared" si="115"/>
        <v>0</v>
      </c>
      <c r="AN54" s="92">
        <f t="shared" si="115"/>
        <v>0</v>
      </c>
      <c r="AO54" s="92">
        <f t="shared" si="115"/>
        <v>0</v>
      </c>
      <c r="AP54" s="86"/>
      <c r="AQ54" s="86"/>
      <c r="AR54" s="86"/>
      <c r="AS54" s="86"/>
      <c r="AT54" s="86"/>
      <c r="AU54" s="86"/>
      <c r="AV54" s="83">
        <v>4505751</v>
      </c>
      <c r="AW54" s="86">
        <v>4505751</v>
      </c>
      <c r="AX54" s="86">
        <v>4394959</v>
      </c>
      <c r="AY54" s="83">
        <v>811939</v>
      </c>
      <c r="AZ54" s="86">
        <f>811939+7498+7499+7498</f>
        <v>834434</v>
      </c>
      <c r="BA54" s="86">
        <v>487000</v>
      </c>
      <c r="BB54" s="86"/>
      <c r="BC54" s="86"/>
      <c r="BD54" s="86"/>
      <c r="BE54" s="86"/>
      <c r="BF54" s="86"/>
      <c r="BG54" s="86"/>
      <c r="BH54" s="86"/>
      <c r="BI54" s="86"/>
      <c r="BJ54" s="86"/>
      <c r="BK54" s="86">
        <v>14000</v>
      </c>
      <c r="BL54" s="86">
        <v>14000</v>
      </c>
      <c r="BM54" s="86">
        <v>15000</v>
      </c>
      <c r="BN54" s="86"/>
      <c r="BO54" s="86"/>
      <c r="BP54" s="86"/>
      <c r="BQ54" s="86"/>
      <c r="BR54" s="86"/>
      <c r="BS54" s="86"/>
      <c r="BT54" s="83">
        <v>1190571</v>
      </c>
      <c r="BU54" s="86">
        <f>293477+15840+881254+654977+14400+4608</f>
        <v>1864556</v>
      </c>
      <c r="BV54" s="86"/>
      <c r="BW54" s="92">
        <f t="shared" si="116"/>
        <v>6522261</v>
      </c>
      <c r="BX54" s="92">
        <f t="shared" si="116"/>
        <v>7218741</v>
      </c>
      <c r="BY54" s="92">
        <f t="shared" si="116"/>
        <v>4896959</v>
      </c>
      <c r="BZ54" s="83">
        <v>311956</v>
      </c>
      <c r="CA54" s="86">
        <v>311956</v>
      </c>
      <c r="CB54" s="86"/>
      <c r="CC54" s="86">
        <v>598000</v>
      </c>
      <c r="CD54" s="86">
        <v>598000</v>
      </c>
      <c r="CE54" s="86">
        <v>616000</v>
      </c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3">
        <f t="shared" si="117"/>
        <v>909956</v>
      </c>
      <c r="CS54" s="83">
        <f t="shared" si="117"/>
        <v>909956</v>
      </c>
      <c r="CT54" s="83">
        <f t="shared" si="117"/>
        <v>616000</v>
      </c>
      <c r="CU54" s="86"/>
      <c r="CV54" s="86"/>
      <c r="CW54" s="86"/>
      <c r="CX54" s="86"/>
      <c r="CY54" s="86"/>
      <c r="CZ54" s="86"/>
      <c r="DA54" s="86">
        <v>0</v>
      </c>
      <c r="DB54" s="86">
        <v>0</v>
      </c>
      <c r="DC54" s="86">
        <v>0</v>
      </c>
      <c r="DD54" s="86"/>
      <c r="DE54" s="86"/>
      <c r="DF54" s="86"/>
      <c r="DG54" s="86"/>
      <c r="DH54" s="86"/>
      <c r="DI54" s="86"/>
      <c r="DJ54" s="83">
        <f t="shared" si="118"/>
        <v>0</v>
      </c>
      <c r="DK54" s="83">
        <f t="shared" si="118"/>
        <v>0</v>
      </c>
      <c r="DL54" s="83">
        <f t="shared" si="118"/>
        <v>0</v>
      </c>
      <c r="DM54" s="83"/>
      <c r="DN54" s="86"/>
      <c r="DO54" s="86"/>
      <c r="DP54" s="86"/>
      <c r="DQ54" s="86"/>
      <c r="DR54" s="86"/>
      <c r="DS54" s="83">
        <f t="shared" si="119"/>
        <v>0</v>
      </c>
      <c r="DT54" s="83">
        <f t="shared" si="119"/>
        <v>0</v>
      </c>
      <c r="DU54" s="83">
        <f t="shared" si="119"/>
        <v>0</v>
      </c>
      <c r="DV54" s="86"/>
      <c r="DW54" s="86"/>
      <c r="DX54" s="86"/>
      <c r="DY54" s="86"/>
      <c r="DZ54" s="86"/>
      <c r="EA54" s="86"/>
      <c r="EB54" s="81">
        <f>SUM(DV54,DY54)</f>
        <v>0</v>
      </c>
      <c r="EC54" s="81">
        <f>SUM(DW54,DZ54)</f>
        <v>0</v>
      </c>
      <c r="ED54" s="81"/>
      <c r="EE54" s="92">
        <f t="shared" si="121"/>
        <v>7527112</v>
      </c>
      <c r="EF54" s="92">
        <f t="shared" si="121"/>
        <v>8223592</v>
      </c>
      <c r="EG54" s="92">
        <f t="shared" si="121"/>
        <v>5827959</v>
      </c>
      <c r="EH54" s="94" t="s">
        <v>144</v>
      </c>
      <c r="EO54" s="2"/>
      <c r="EP54" s="2"/>
      <c r="EQ54" s="2"/>
      <c r="ER54" s="61"/>
      <c r="ES54" s="2"/>
      <c r="ET54" s="2"/>
      <c r="EU54" s="2"/>
    </row>
    <row r="55" spans="1:151" s="32" customFormat="1" ht="12" customHeight="1">
      <c r="A55" s="39" t="s">
        <v>145</v>
      </c>
      <c r="B55" s="25" t="s">
        <v>146</v>
      </c>
      <c r="C55" s="83">
        <f>SUM(C56:C62)</f>
        <v>79400</v>
      </c>
      <c r="D55" s="86">
        <f>SUM(D56:D62)</f>
        <v>79400</v>
      </c>
      <c r="E55" s="86">
        <f t="shared" ref="E55:W55" si="122">SUM(E56:E62)</f>
        <v>210000</v>
      </c>
      <c r="F55" s="86">
        <f>SUM(F56:F62)</f>
        <v>0</v>
      </c>
      <c r="G55" s="86">
        <f>SUM(G56:G62)</f>
        <v>0</v>
      </c>
      <c r="H55" s="86">
        <f t="shared" si="122"/>
        <v>3700</v>
      </c>
      <c r="I55" s="86">
        <f t="shared" si="122"/>
        <v>79400</v>
      </c>
      <c r="J55" s="86">
        <f t="shared" si="122"/>
        <v>79400</v>
      </c>
      <c r="K55" s="86">
        <f t="shared" si="122"/>
        <v>213700</v>
      </c>
      <c r="L55" s="83">
        <f t="shared" si="122"/>
        <v>5715000</v>
      </c>
      <c r="M55" s="86">
        <f>SUM(M56:M62)</f>
        <v>9424042</v>
      </c>
      <c r="N55" s="86">
        <f t="shared" si="122"/>
        <v>4203012</v>
      </c>
      <c r="O55" s="86">
        <f t="shared" si="122"/>
        <v>0</v>
      </c>
      <c r="P55" s="86">
        <f t="shared" si="122"/>
        <v>0</v>
      </c>
      <c r="Q55" s="86">
        <f t="shared" si="122"/>
        <v>0</v>
      </c>
      <c r="R55" s="86">
        <f t="shared" si="122"/>
        <v>5715000</v>
      </c>
      <c r="S55" s="86">
        <f t="shared" si="122"/>
        <v>9424042</v>
      </c>
      <c r="T55" s="86">
        <f t="shared" si="122"/>
        <v>4203012</v>
      </c>
      <c r="U55" s="86">
        <f t="shared" si="122"/>
        <v>4480</v>
      </c>
      <c r="V55" s="86">
        <f t="shared" si="122"/>
        <v>4480</v>
      </c>
      <c r="W55" s="86">
        <f t="shared" si="122"/>
        <v>4480</v>
      </c>
      <c r="X55" s="83">
        <f>SUM(X56:X62)</f>
        <v>3000</v>
      </c>
      <c r="Y55" s="86">
        <f t="shared" ref="Y55:BT55" si="123">SUM(Y56:Y62)</f>
        <v>3000</v>
      </c>
      <c r="Z55" s="86">
        <f t="shared" si="123"/>
        <v>0</v>
      </c>
      <c r="AA55" s="86">
        <f t="shared" si="123"/>
        <v>7480</v>
      </c>
      <c r="AB55" s="86">
        <f t="shared" si="123"/>
        <v>7480</v>
      </c>
      <c r="AC55" s="86">
        <f t="shared" si="123"/>
        <v>4480</v>
      </c>
      <c r="AD55" s="86">
        <f t="shared" si="123"/>
        <v>0</v>
      </c>
      <c r="AE55" s="86">
        <f t="shared" si="123"/>
        <v>0</v>
      </c>
      <c r="AF55" s="86">
        <f t="shared" si="123"/>
        <v>0</v>
      </c>
      <c r="AG55" s="86">
        <f t="shared" si="123"/>
        <v>7000</v>
      </c>
      <c r="AH55" s="86">
        <f t="shared" si="123"/>
        <v>7000</v>
      </c>
      <c r="AI55" s="86">
        <f t="shared" si="123"/>
        <v>0</v>
      </c>
      <c r="AJ55" s="86">
        <f t="shared" si="123"/>
        <v>0</v>
      </c>
      <c r="AK55" s="86">
        <f t="shared" si="123"/>
        <v>0</v>
      </c>
      <c r="AL55" s="86">
        <f t="shared" si="123"/>
        <v>0</v>
      </c>
      <c r="AM55" s="86">
        <f t="shared" si="123"/>
        <v>7000</v>
      </c>
      <c r="AN55" s="86">
        <f t="shared" si="123"/>
        <v>7000</v>
      </c>
      <c r="AO55" s="86">
        <f t="shared" si="123"/>
        <v>0</v>
      </c>
      <c r="AP55" s="86">
        <f t="shared" si="123"/>
        <v>1008119</v>
      </c>
      <c r="AQ55" s="86">
        <f>SUM(AQ56:AQ62)</f>
        <v>1560761</v>
      </c>
      <c r="AR55" s="86">
        <f t="shared" si="123"/>
        <v>1016142</v>
      </c>
      <c r="AS55" s="86">
        <f>SUM(AS56:AS62)</f>
        <v>0</v>
      </c>
      <c r="AT55" s="86">
        <f>SUM(AT56:AT62)</f>
        <v>0</v>
      </c>
      <c r="AU55" s="86">
        <f t="shared" si="123"/>
        <v>0</v>
      </c>
      <c r="AV55" s="83">
        <f t="shared" si="123"/>
        <v>211496</v>
      </c>
      <c r="AW55" s="86">
        <f>SUM(AW56:AW62)</f>
        <v>1042413</v>
      </c>
      <c r="AX55" s="86">
        <f t="shared" si="123"/>
        <v>1185813</v>
      </c>
      <c r="AY55" s="83">
        <f t="shared" si="123"/>
        <v>4649462</v>
      </c>
      <c r="AZ55" s="86">
        <f>SUM(AZ56:AZ62)</f>
        <v>4649462</v>
      </c>
      <c r="BA55" s="86">
        <f t="shared" si="123"/>
        <v>4587283</v>
      </c>
      <c r="BB55" s="86">
        <f>SUM(BB56:BB62)</f>
        <v>0</v>
      </c>
      <c r="BC55" s="86">
        <f t="shared" si="123"/>
        <v>0</v>
      </c>
      <c r="BD55" s="86">
        <f t="shared" si="123"/>
        <v>0</v>
      </c>
      <c r="BE55" s="86">
        <f>SUM(BE56:BE62)</f>
        <v>0</v>
      </c>
      <c r="BF55" s="86">
        <f>SUM(BF56:BF62)</f>
        <v>0</v>
      </c>
      <c r="BG55" s="86">
        <f t="shared" si="123"/>
        <v>0</v>
      </c>
      <c r="BH55" s="86">
        <f t="shared" si="123"/>
        <v>0</v>
      </c>
      <c r="BI55" s="86">
        <f t="shared" si="123"/>
        <v>0</v>
      </c>
      <c r="BJ55" s="86">
        <f t="shared" si="123"/>
        <v>0</v>
      </c>
      <c r="BK55" s="86">
        <f t="shared" si="123"/>
        <v>0</v>
      </c>
      <c r="BL55" s="86">
        <f t="shared" si="123"/>
        <v>0</v>
      </c>
      <c r="BM55" s="86">
        <f t="shared" si="123"/>
        <v>0</v>
      </c>
      <c r="BN55" s="86">
        <f t="shared" si="123"/>
        <v>0</v>
      </c>
      <c r="BO55" s="86">
        <f t="shared" si="123"/>
        <v>0</v>
      </c>
      <c r="BP55" s="86">
        <f t="shared" si="123"/>
        <v>0</v>
      </c>
      <c r="BQ55" s="86">
        <f t="shared" si="123"/>
        <v>4000</v>
      </c>
      <c r="BR55" s="86">
        <f t="shared" si="123"/>
        <v>4000</v>
      </c>
      <c r="BS55" s="86">
        <f t="shared" si="123"/>
        <v>4000</v>
      </c>
      <c r="BT55" s="86">
        <f t="shared" si="123"/>
        <v>0</v>
      </c>
      <c r="BU55" s="86">
        <f t="shared" ref="BU55:CM55" si="124">SUM(BU56:BU62)</f>
        <v>0</v>
      </c>
      <c r="BV55" s="86">
        <f t="shared" si="124"/>
        <v>0</v>
      </c>
      <c r="BW55" s="86">
        <f t="shared" si="124"/>
        <v>5873077</v>
      </c>
      <c r="BX55" s="86">
        <f t="shared" si="124"/>
        <v>7256636</v>
      </c>
      <c r="BY55" s="86">
        <f t="shared" si="124"/>
        <v>6793238</v>
      </c>
      <c r="BZ55" s="83">
        <f t="shared" si="124"/>
        <v>20000</v>
      </c>
      <c r="CA55" s="86">
        <f>SUM(CA56:CA62)</f>
        <v>20000</v>
      </c>
      <c r="CB55" s="86">
        <f t="shared" si="124"/>
        <v>20000</v>
      </c>
      <c r="CC55" s="86">
        <f t="shared" si="124"/>
        <v>0</v>
      </c>
      <c r="CD55" s="86">
        <f t="shared" si="124"/>
        <v>0</v>
      </c>
      <c r="CE55" s="86">
        <f t="shared" si="124"/>
        <v>0</v>
      </c>
      <c r="CF55" s="83">
        <f t="shared" si="124"/>
        <v>9740</v>
      </c>
      <c r="CG55" s="83">
        <f>SUM(CG56:CG62)</f>
        <v>9740</v>
      </c>
      <c r="CH55" s="86">
        <f t="shared" si="124"/>
        <v>0</v>
      </c>
      <c r="CI55" s="86">
        <f t="shared" si="124"/>
        <v>0</v>
      </c>
      <c r="CJ55" s="86">
        <f t="shared" si="124"/>
        <v>0</v>
      </c>
      <c r="CK55" s="86">
        <f t="shared" si="124"/>
        <v>0</v>
      </c>
      <c r="CL55" s="86">
        <f t="shared" si="124"/>
        <v>0</v>
      </c>
      <c r="CM55" s="86">
        <f t="shared" si="124"/>
        <v>0</v>
      </c>
      <c r="CN55" s="86">
        <f t="shared" ref="CN55:EC55" si="125">SUM(CN56:CN62)</f>
        <v>40000</v>
      </c>
      <c r="CO55" s="83">
        <f t="shared" si="125"/>
        <v>20000</v>
      </c>
      <c r="CP55" s="83">
        <f>SUM(CP56:CP62)</f>
        <v>20000</v>
      </c>
      <c r="CQ55" s="86">
        <f t="shared" si="125"/>
        <v>20000</v>
      </c>
      <c r="CR55" s="86">
        <f t="shared" si="125"/>
        <v>49740</v>
      </c>
      <c r="CS55" s="86">
        <f t="shared" si="125"/>
        <v>49740</v>
      </c>
      <c r="CT55" s="86">
        <f t="shared" si="125"/>
        <v>80000</v>
      </c>
      <c r="CU55" s="83">
        <f t="shared" si="125"/>
        <v>10000</v>
      </c>
      <c r="CV55" s="86">
        <f t="shared" si="125"/>
        <v>10000</v>
      </c>
      <c r="CW55" s="86">
        <f t="shared" si="125"/>
        <v>28500</v>
      </c>
      <c r="CX55" s="86">
        <f t="shared" si="125"/>
        <v>99865</v>
      </c>
      <c r="CY55" s="86">
        <f t="shared" si="125"/>
        <v>99865</v>
      </c>
      <c r="CZ55" s="86">
        <f t="shared" si="125"/>
        <v>75720</v>
      </c>
      <c r="DA55" s="86">
        <f t="shared" si="125"/>
        <v>0</v>
      </c>
      <c r="DB55" s="86">
        <f t="shared" si="125"/>
        <v>0</v>
      </c>
      <c r="DC55" s="86">
        <f t="shared" si="125"/>
        <v>0</v>
      </c>
      <c r="DD55" s="86">
        <f t="shared" si="125"/>
        <v>2000</v>
      </c>
      <c r="DE55" s="86">
        <f t="shared" si="125"/>
        <v>2000</v>
      </c>
      <c r="DF55" s="86">
        <f t="shared" si="125"/>
        <v>0</v>
      </c>
      <c r="DG55" s="86">
        <f t="shared" si="125"/>
        <v>0</v>
      </c>
      <c r="DH55" s="86">
        <f t="shared" si="125"/>
        <v>0</v>
      </c>
      <c r="DI55" s="86">
        <f t="shared" si="125"/>
        <v>0</v>
      </c>
      <c r="DJ55" s="86">
        <f t="shared" si="125"/>
        <v>66000</v>
      </c>
      <c r="DK55" s="86">
        <f t="shared" si="125"/>
        <v>66000</v>
      </c>
      <c r="DL55" s="86">
        <f t="shared" si="125"/>
        <v>23800</v>
      </c>
      <c r="DM55" s="83">
        <f t="shared" si="125"/>
        <v>66000</v>
      </c>
      <c r="DN55" s="86">
        <f>SUM(DN56:DN62)</f>
        <v>66000</v>
      </c>
      <c r="DO55" s="86">
        <f t="shared" si="125"/>
        <v>10000</v>
      </c>
      <c r="DP55" s="86">
        <f>SUM(DP56:DP62)</f>
        <v>0</v>
      </c>
      <c r="DQ55" s="86">
        <f>SUM(DQ56:DQ62)</f>
        <v>0</v>
      </c>
      <c r="DR55" s="86">
        <f t="shared" si="125"/>
        <v>13800</v>
      </c>
      <c r="DS55" s="86">
        <f t="shared" si="125"/>
        <v>177865</v>
      </c>
      <c r="DT55" s="86">
        <f t="shared" si="125"/>
        <v>177865</v>
      </c>
      <c r="DU55" s="86">
        <f t="shared" si="125"/>
        <v>128020</v>
      </c>
      <c r="DV55" s="86">
        <f t="shared" si="125"/>
        <v>0</v>
      </c>
      <c r="DW55" s="86">
        <f>SUM(DW56:DW62)</f>
        <v>0</v>
      </c>
      <c r="DX55" s="86">
        <f t="shared" si="125"/>
        <v>0</v>
      </c>
      <c r="DY55" s="86">
        <f t="shared" si="125"/>
        <v>0</v>
      </c>
      <c r="DZ55" s="86">
        <f t="shared" si="125"/>
        <v>0</v>
      </c>
      <c r="EA55" s="86">
        <f t="shared" si="125"/>
        <v>0</v>
      </c>
      <c r="EB55" s="86">
        <f t="shared" si="125"/>
        <v>0</v>
      </c>
      <c r="EC55" s="86">
        <f t="shared" si="125"/>
        <v>0</v>
      </c>
      <c r="ED55" s="86">
        <f>SUM(ED56:ED62)</f>
        <v>0</v>
      </c>
      <c r="EE55" s="86">
        <f>SUM(EE56:EE62)</f>
        <v>11909562</v>
      </c>
      <c r="EF55" s="86">
        <f>SUM(EF56:EF62)</f>
        <v>17002163</v>
      </c>
      <c r="EG55" s="86">
        <f>SUM(EG56:EG62)</f>
        <v>11422450</v>
      </c>
      <c r="EH55" s="94" t="s">
        <v>146</v>
      </c>
      <c r="EO55" s="2"/>
      <c r="EP55" s="2"/>
      <c r="EQ55" s="2"/>
      <c r="ER55" s="61"/>
      <c r="ES55" s="2"/>
      <c r="ET55" s="2"/>
      <c r="EU55" s="2"/>
    </row>
    <row r="56" spans="1:151" ht="12" customHeight="1">
      <c r="A56" s="33" t="s">
        <v>147</v>
      </c>
      <c r="B56" s="34" t="s">
        <v>148</v>
      </c>
      <c r="C56" s="81">
        <v>8300</v>
      </c>
      <c r="D56" s="81">
        <v>8300</v>
      </c>
      <c r="E56" s="81"/>
      <c r="F56" s="81"/>
      <c r="G56" s="81"/>
      <c r="H56" s="81">
        <v>3700</v>
      </c>
      <c r="I56" s="81">
        <f t="shared" ref="I56:K62" si="126">SUM(C56,F56)</f>
        <v>8300</v>
      </c>
      <c r="J56" s="81">
        <f t="shared" si="126"/>
        <v>8300</v>
      </c>
      <c r="K56" s="81">
        <f t="shared" si="126"/>
        <v>3700</v>
      </c>
      <c r="L56" s="81"/>
      <c r="M56" s="81"/>
      <c r="N56" s="81"/>
      <c r="O56" s="81"/>
      <c r="P56" s="81"/>
      <c r="Q56" s="81"/>
      <c r="R56" s="87">
        <f t="shared" ref="R56:T62" si="127">SUM(L56,O56)</f>
        <v>0</v>
      </c>
      <c r="S56" s="87">
        <f t="shared" si="127"/>
        <v>0</v>
      </c>
      <c r="T56" s="87">
        <f t="shared" si="127"/>
        <v>0</v>
      </c>
      <c r="U56" s="81"/>
      <c r="V56" s="81"/>
      <c r="W56" s="81"/>
      <c r="X56" s="81"/>
      <c r="Y56" s="81"/>
      <c r="Z56" s="81"/>
      <c r="AA56" s="87">
        <f t="shared" ref="AA56:AC62" si="128">U56+X56</f>
        <v>0</v>
      </c>
      <c r="AB56" s="87">
        <f t="shared" si="128"/>
        <v>0</v>
      </c>
      <c r="AC56" s="87">
        <f t="shared" si="128"/>
        <v>0</v>
      </c>
      <c r="AD56" s="81"/>
      <c r="AE56" s="81"/>
      <c r="AF56" s="81"/>
      <c r="AG56" s="81"/>
      <c r="AH56" s="81"/>
      <c r="AI56" s="81"/>
      <c r="AJ56" s="81"/>
      <c r="AK56" s="81"/>
      <c r="AL56" s="81"/>
      <c r="AM56" s="87">
        <f t="shared" ref="AM56:AO62" si="129">AD56+AG56+AJ56</f>
        <v>0</v>
      </c>
      <c r="AN56" s="87">
        <f t="shared" si="129"/>
        <v>0</v>
      </c>
      <c r="AO56" s="87">
        <f t="shared" si="129"/>
        <v>0</v>
      </c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7">
        <f t="shared" ref="BW56:BY62" si="130">SUM(AP56,AS56,AV56,AY56,BB56,BE56,BH56,BK56,BN56,BQ56,BT56)</f>
        <v>0</v>
      </c>
      <c r="BX56" s="87">
        <f t="shared" si="130"/>
        <v>0</v>
      </c>
      <c r="BY56" s="87">
        <f t="shared" si="130"/>
        <v>0</v>
      </c>
      <c r="BZ56" s="81"/>
      <c r="CA56" s="81"/>
      <c r="CB56" s="81"/>
      <c r="CC56" s="81"/>
      <c r="CD56" s="81"/>
      <c r="CE56" s="81"/>
      <c r="CF56" s="81">
        <v>1740</v>
      </c>
      <c r="CG56" s="81">
        <v>1740</v>
      </c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>
        <f t="shared" ref="CR56:CT62" si="131">SUM(BZ56,CC56,CF56,CI56,CL56,CO56)</f>
        <v>1740</v>
      </c>
      <c r="CS56" s="81">
        <f t="shared" si="131"/>
        <v>1740</v>
      </c>
      <c r="CT56" s="81">
        <f t="shared" si="131"/>
        <v>0</v>
      </c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>
        <f t="shared" ref="DJ56:DL62" si="132">SUM(DM56,DP56)</f>
        <v>0</v>
      </c>
      <c r="DK56" s="81">
        <f t="shared" si="132"/>
        <v>0</v>
      </c>
      <c r="DL56" s="81">
        <f t="shared" si="132"/>
        <v>7200</v>
      </c>
      <c r="DM56" s="81"/>
      <c r="DN56" s="81"/>
      <c r="DO56" s="81"/>
      <c r="DP56" s="81"/>
      <c r="DQ56" s="81"/>
      <c r="DR56" s="81">
        <v>7200</v>
      </c>
      <c r="DS56" s="81">
        <f t="shared" ref="DS56:DU62" si="133">SUM(CU56,CX56,DA56,DD56,DG56,DJ56)</f>
        <v>0</v>
      </c>
      <c r="DT56" s="81">
        <f t="shared" si="133"/>
        <v>0</v>
      </c>
      <c r="DU56" s="81">
        <f t="shared" si="133"/>
        <v>7200</v>
      </c>
      <c r="DV56" s="81"/>
      <c r="DW56" s="81"/>
      <c r="DX56" s="81"/>
      <c r="DY56" s="81"/>
      <c r="DZ56" s="81"/>
      <c r="EA56" s="81"/>
      <c r="EB56" s="81">
        <f t="shared" ref="EB56:ED62" si="134">SUM(DV56,DY56)</f>
        <v>0</v>
      </c>
      <c r="EC56" s="81">
        <f t="shared" si="134"/>
        <v>0</v>
      </c>
      <c r="ED56" s="81">
        <f t="shared" si="134"/>
        <v>0</v>
      </c>
      <c r="EE56" s="87">
        <f t="shared" ref="EE56:EG62" si="135">SUM(I56,R56,AA56,AM56,BW56,CR56,DS56,EB56)</f>
        <v>10040</v>
      </c>
      <c r="EF56" s="87">
        <f t="shared" si="135"/>
        <v>10040</v>
      </c>
      <c r="EG56" s="87">
        <f t="shared" si="135"/>
        <v>10900</v>
      </c>
      <c r="EH56" s="96" t="s">
        <v>148</v>
      </c>
    </row>
    <row r="57" spans="1:151" ht="12" customHeight="1">
      <c r="A57" s="33" t="s">
        <v>149</v>
      </c>
      <c r="B57" s="34" t="s">
        <v>150</v>
      </c>
      <c r="C57" s="81">
        <v>71100</v>
      </c>
      <c r="D57" s="81">
        <v>71100</v>
      </c>
      <c r="E57" s="81">
        <v>50000</v>
      </c>
      <c r="F57" s="81"/>
      <c r="G57" s="81"/>
      <c r="H57" s="81"/>
      <c r="I57" s="81">
        <f t="shared" si="126"/>
        <v>71100</v>
      </c>
      <c r="J57" s="81">
        <f t="shared" si="126"/>
        <v>71100</v>
      </c>
      <c r="K57" s="81">
        <f t="shared" si="126"/>
        <v>50000</v>
      </c>
      <c r="L57" s="81">
        <f>15000+5700000</f>
        <v>5715000</v>
      </c>
      <c r="M57" s="81">
        <f>5715000+1952081+877821+879140</f>
        <v>9424042</v>
      </c>
      <c r="N57" s="81">
        <v>4203012</v>
      </c>
      <c r="O57" s="81"/>
      <c r="P57" s="81"/>
      <c r="Q57" s="81"/>
      <c r="R57" s="87">
        <f t="shared" si="127"/>
        <v>5715000</v>
      </c>
      <c r="S57" s="87">
        <f t="shared" si="127"/>
        <v>9424042</v>
      </c>
      <c r="T57" s="87">
        <f t="shared" si="127"/>
        <v>4203012</v>
      </c>
      <c r="U57" s="81"/>
      <c r="V57" s="81"/>
      <c r="W57" s="81"/>
      <c r="X57" s="81"/>
      <c r="Y57" s="81"/>
      <c r="Z57" s="81"/>
      <c r="AA57" s="87">
        <f t="shared" si="128"/>
        <v>0</v>
      </c>
      <c r="AB57" s="87">
        <f t="shared" si="128"/>
        <v>0</v>
      </c>
      <c r="AC57" s="87">
        <f t="shared" si="128"/>
        <v>0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7">
        <f t="shared" si="129"/>
        <v>0</v>
      </c>
      <c r="AN57" s="87">
        <f t="shared" si="129"/>
        <v>0</v>
      </c>
      <c r="AO57" s="87">
        <f t="shared" si="129"/>
        <v>0</v>
      </c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7">
        <f t="shared" si="130"/>
        <v>0</v>
      </c>
      <c r="BX57" s="87">
        <f t="shared" si="130"/>
        <v>0</v>
      </c>
      <c r="BY57" s="87">
        <f t="shared" si="130"/>
        <v>0</v>
      </c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>
        <f t="shared" si="131"/>
        <v>0</v>
      </c>
      <c r="CS57" s="81">
        <f t="shared" si="131"/>
        <v>0</v>
      </c>
      <c r="CT57" s="81">
        <f t="shared" si="131"/>
        <v>0</v>
      </c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>
        <f t="shared" si="132"/>
        <v>0</v>
      </c>
      <c r="DK57" s="81">
        <f t="shared" si="132"/>
        <v>0</v>
      </c>
      <c r="DL57" s="81">
        <f t="shared" si="132"/>
        <v>0</v>
      </c>
      <c r="DM57" s="81"/>
      <c r="DN57" s="81"/>
      <c r="DO57" s="81"/>
      <c r="DP57" s="81"/>
      <c r="DQ57" s="81"/>
      <c r="DR57" s="81"/>
      <c r="DS57" s="81">
        <f t="shared" si="133"/>
        <v>0</v>
      </c>
      <c r="DT57" s="81">
        <f t="shared" si="133"/>
        <v>0</v>
      </c>
      <c r="DU57" s="81">
        <f t="shared" si="133"/>
        <v>0</v>
      </c>
      <c r="DV57" s="81"/>
      <c r="DW57" s="81"/>
      <c r="DX57" s="81"/>
      <c r="DY57" s="81"/>
      <c r="DZ57" s="81"/>
      <c r="EA57" s="81"/>
      <c r="EB57" s="81">
        <f t="shared" si="134"/>
        <v>0</v>
      </c>
      <c r="EC57" s="81">
        <f t="shared" si="134"/>
        <v>0</v>
      </c>
      <c r="ED57" s="81">
        <f t="shared" si="134"/>
        <v>0</v>
      </c>
      <c r="EE57" s="87">
        <f t="shared" si="135"/>
        <v>5786100</v>
      </c>
      <c r="EF57" s="87">
        <f t="shared" si="135"/>
        <v>9495142</v>
      </c>
      <c r="EG57" s="87">
        <f t="shared" si="135"/>
        <v>4253012</v>
      </c>
      <c r="EH57" s="96" t="s">
        <v>150</v>
      </c>
    </row>
    <row r="58" spans="1:151" ht="12" customHeight="1">
      <c r="A58" s="33" t="s">
        <v>151</v>
      </c>
      <c r="B58" s="34" t="s">
        <v>152</v>
      </c>
      <c r="C58" s="81"/>
      <c r="D58" s="81"/>
      <c r="E58" s="81">
        <v>100000</v>
      </c>
      <c r="F58" s="81"/>
      <c r="G58" s="81"/>
      <c r="H58" s="81"/>
      <c r="I58" s="81">
        <f t="shared" si="126"/>
        <v>0</v>
      </c>
      <c r="J58" s="81">
        <f t="shared" si="126"/>
        <v>0</v>
      </c>
      <c r="K58" s="81">
        <f t="shared" si="126"/>
        <v>100000</v>
      </c>
      <c r="L58" s="81"/>
      <c r="M58" s="81"/>
      <c r="N58" s="81"/>
      <c r="O58" s="81"/>
      <c r="P58" s="81"/>
      <c r="Q58" s="81"/>
      <c r="R58" s="87">
        <f t="shared" si="127"/>
        <v>0</v>
      </c>
      <c r="S58" s="87">
        <f t="shared" si="127"/>
        <v>0</v>
      </c>
      <c r="T58" s="87">
        <f t="shared" si="127"/>
        <v>0</v>
      </c>
      <c r="U58" s="81">
        <v>4480</v>
      </c>
      <c r="V58" s="81">
        <v>4480</v>
      </c>
      <c r="W58" s="81">
        <v>4480</v>
      </c>
      <c r="X58" s="81"/>
      <c r="Y58" s="81">
        <f>6000-6000</f>
        <v>0</v>
      </c>
      <c r="Z58" s="81"/>
      <c r="AA58" s="87">
        <f t="shared" si="128"/>
        <v>4480</v>
      </c>
      <c r="AB58" s="87">
        <f t="shared" si="128"/>
        <v>4480</v>
      </c>
      <c r="AC58" s="87">
        <f t="shared" si="128"/>
        <v>4480</v>
      </c>
      <c r="AD58" s="81"/>
      <c r="AE58" s="81"/>
      <c r="AF58" s="81"/>
      <c r="AG58" s="81">
        <v>7000</v>
      </c>
      <c r="AH58" s="81">
        <v>7000</v>
      </c>
      <c r="AI58" s="81"/>
      <c r="AJ58" s="81"/>
      <c r="AK58" s="81"/>
      <c r="AL58" s="81"/>
      <c r="AM58" s="87">
        <f t="shared" si="129"/>
        <v>7000</v>
      </c>
      <c r="AN58" s="87">
        <f t="shared" si="129"/>
        <v>7000</v>
      </c>
      <c r="AO58" s="87">
        <f t="shared" si="129"/>
        <v>0</v>
      </c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>
        <f>55000+100000+65000+60000+60000+37500+55000</f>
        <v>432500</v>
      </c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>
        <v>4000</v>
      </c>
      <c r="BR58" s="81">
        <v>4000</v>
      </c>
      <c r="BS58" s="81">
        <v>4000</v>
      </c>
      <c r="BT58" s="81"/>
      <c r="BU58" s="81"/>
      <c r="BV58" s="81"/>
      <c r="BW58" s="87">
        <f t="shared" si="130"/>
        <v>4000</v>
      </c>
      <c r="BX58" s="87">
        <f t="shared" si="130"/>
        <v>4000</v>
      </c>
      <c r="BY58" s="87">
        <f t="shared" si="130"/>
        <v>436500</v>
      </c>
      <c r="BZ58" s="81">
        <v>20000</v>
      </c>
      <c r="CA58" s="81">
        <v>20000</v>
      </c>
      <c r="CB58" s="81">
        <v>20000</v>
      </c>
      <c r="CC58" s="81"/>
      <c r="CD58" s="81"/>
      <c r="CE58" s="81"/>
      <c r="CF58" s="81">
        <v>8000</v>
      </c>
      <c r="CG58" s="81">
        <v>8000</v>
      </c>
      <c r="CH58" s="81"/>
      <c r="CI58" s="81"/>
      <c r="CJ58" s="81"/>
      <c r="CK58" s="81"/>
      <c r="CL58" s="81"/>
      <c r="CM58" s="81"/>
      <c r="CN58" s="81">
        <v>40000</v>
      </c>
      <c r="CO58" s="81"/>
      <c r="CP58" s="81"/>
      <c r="CQ58" s="81"/>
      <c r="CR58" s="81">
        <f t="shared" si="131"/>
        <v>28000</v>
      </c>
      <c r="CS58" s="81">
        <f t="shared" si="131"/>
        <v>28000</v>
      </c>
      <c r="CT58" s="81">
        <f t="shared" si="131"/>
        <v>60000</v>
      </c>
      <c r="CU58" s="81">
        <v>10000</v>
      </c>
      <c r="CV58" s="81">
        <v>10000</v>
      </c>
      <c r="CW58" s="81">
        <v>28500</v>
      </c>
      <c r="CX58" s="81"/>
      <c r="CY58" s="81"/>
      <c r="CZ58" s="81">
        <v>30000</v>
      </c>
      <c r="DA58" s="81"/>
      <c r="DB58" s="81"/>
      <c r="DC58" s="81"/>
      <c r="DD58" s="81">
        <v>2000</v>
      </c>
      <c r="DE58" s="81">
        <v>2000</v>
      </c>
      <c r="DF58" s="81"/>
      <c r="DG58" s="81"/>
      <c r="DH58" s="81"/>
      <c r="DI58" s="81"/>
      <c r="DJ58" s="81">
        <f t="shared" si="132"/>
        <v>66000</v>
      </c>
      <c r="DK58" s="81">
        <f t="shared" si="132"/>
        <v>66000</v>
      </c>
      <c r="DL58" s="81">
        <f t="shared" si="132"/>
        <v>16600</v>
      </c>
      <c r="DM58" s="81">
        <v>66000</v>
      </c>
      <c r="DN58" s="81">
        <v>66000</v>
      </c>
      <c r="DO58" s="81">
        <v>10000</v>
      </c>
      <c r="DP58" s="81"/>
      <c r="DQ58" s="81"/>
      <c r="DR58" s="81">
        <f>1800+4800</f>
        <v>6600</v>
      </c>
      <c r="DS58" s="81">
        <f t="shared" si="133"/>
        <v>78000</v>
      </c>
      <c r="DT58" s="81">
        <f t="shared" si="133"/>
        <v>78000</v>
      </c>
      <c r="DU58" s="81">
        <f t="shared" si="133"/>
        <v>75100</v>
      </c>
      <c r="DV58" s="81"/>
      <c r="DW58" s="81"/>
      <c r="DX58" s="81"/>
      <c r="DY58" s="81"/>
      <c r="DZ58" s="81"/>
      <c r="EA58" s="81"/>
      <c r="EB58" s="81">
        <f t="shared" si="134"/>
        <v>0</v>
      </c>
      <c r="EC58" s="81">
        <f t="shared" si="134"/>
        <v>0</v>
      </c>
      <c r="ED58" s="81">
        <f t="shared" si="134"/>
        <v>0</v>
      </c>
      <c r="EE58" s="87">
        <f t="shared" si="135"/>
        <v>121480</v>
      </c>
      <c r="EF58" s="87">
        <f t="shared" si="135"/>
        <v>121480</v>
      </c>
      <c r="EG58" s="87">
        <f t="shared" si="135"/>
        <v>676080</v>
      </c>
      <c r="EH58" s="96" t="s">
        <v>152</v>
      </c>
    </row>
    <row r="59" spans="1:151" ht="13.5" customHeight="1">
      <c r="A59" s="33" t="s">
        <v>153</v>
      </c>
      <c r="B59" s="34" t="s">
        <v>154</v>
      </c>
      <c r="C59" s="81"/>
      <c r="D59" s="81"/>
      <c r="E59" s="81">
        <v>60000</v>
      </c>
      <c r="F59" s="81"/>
      <c r="G59" s="81"/>
      <c r="H59" s="81"/>
      <c r="I59" s="81">
        <f t="shared" si="126"/>
        <v>0</v>
      </c>
      <c r="J59" s="81">
        <f t="shared" si="126"/>
        <v>0</v>
      </c>
      <c r="K59" s="81">
        <f t="shared" si="126"/>
        <v>60000</v>
      </c>
      <c r="L59" s="81"/>
      <c r="M59" s="81"/>
      <c r="N59" s="81"/>
      <c r="O59" s="81"/>
      <c r="P59" s="81"/>
      <c r="Q59" s="81"/>
      <c r="R59" s="87">
        <f t="shared" si="127"/>
        <v>0</v>
      </c>
      <c r="S59" s="87">
        <f t="shared" si="127"/>
        <v>0</v>
      </c>
      <c r="T59" s="87">
        <f t="shared" si="127"/>
        <v>0</v>
      </c>
      <c r="U59" s="81"/>
      <c r="V59" s="81"/>
      <c r="W59" s="81"/>
      <c r="X59" s="81"/>
      <c r="Y59" s="81"/>
      <c r="Z59" s="81"/>
      <c r="AA59" s="87">
        <f t="shared" si="128"/>
        <v>0</v>
      </c>
      <c r="AB59" s="87">
        <f t="shared" si="128"/>
        <v>0</v>
      </c>
      <c r="AC59" s="87">
        <f t="shared" si="128"/>
        <v>0</v>
      </c>
      <c r="AD59" s="81"/>
      <c r="AE59" s="81"/>
      <c r="AF59" s="81"/>
      <c r="AG59" s="81"/>
      <c r="AH59" s="81"/>
      <c r="AI59" s="81"/>
      <c r="AJ59" s="81"/>
      <c r="AK59" s="81"/>
      <c r="AL59" s="81"/>
      <c r="AM59" s="87">
        <f t="shared" si="129"/>
        <v>0</v>
      </c>
      <c r="AN59" s="87">
        <f t="shared" si="129"/>
        <v>0</v>
      </c>
      <c r="AO59" s="87">
        <f t="shared" si="129"/>
        <v>0</v>
      </c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7">
        <f t="shared" si="130"/>
        <v>0</v>
      </c>
      <c r="BX59" s="87">
        <f t="shared" si="130"/>
        <v>0</v>
      </c>
      <c r="BY59" s="87">
        <f t="shared" si="130"/>
        <v>0</v>
      </c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>
        <f t="shared" si="131"/>
        <v>0</v>
      </c>
      <c r="CS59" s="81">
        <f t="shared" si="131"/>
        <v>0</v>
      </c>
      <c r="CT59" s="81">
        <f t="shared" si="131"/>
        <v>0</v>
      </c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>
        <f t="shared" si="132"/>
        <v>0</v>
      </c>
      <c r="DK59" s="81">
        <f t="shared" si="132"/>
        <v>0</v>
      </c>
      <c r="DL59" s="81">
        <f t="shared" si="132"/>
        <v>0</v>
      </c>
      <c r="DM59" s="81"/>
      <c r="DN59" s="81"/>
      <c r="DO59" s="81"/>
      <c r="DP59" s="81"/>
      <c r="DQ59" s="81"/>
      <c r="DR59" s="81"/>
      <c r="DS59" s="81">
        <f t="shared" si="133"/>
        <v>0</v>
      </c>
      <c r="DT59" s="81">
        <f t="shared" si="133"/>
        <v>0</v>
      </c>
      <c r="DU59" s="81">
        <f t="shared" si="133"/>
        <v>0</v>
      </c>
      <c r="DV59" s="81"/>
      <c r="DW59" s="81"/>
      <c r="DX59" s="81"/>
      <c r="DY59" s="81"/>
      <c r="DZ59" s="81"/>
      <c r="EA59" s="81"/>
      <c r="EB59" s="81">
        <f t="shared" si="134"/>
        <v>0</v>
      </c>
      <c r="EC59" s="81">
        <f t="shared" si="134"/>
        <v>0</v>
      </c>
      <c r="ED59" s="81">
        <f t="shared" si="134"/>
        <v>0</v>
      </c>
      <c r="EE59" s="87">
        <f t="shared" si="135"/>
        <v>0</v>
      </c>
      <c r="EF59" s="87">
        <f t="shared" si="135"/>
        <v>0</v>
      </c>
      <c r="EG59" s="87">
        <f t="shared" si="135"/>
        <v>60000</v>
      </c>
      <c r="EH59" s="96" t="s">
        <v>154</v>
      </c>
    </row>
    <row r="60" spans="1:151" ht="12.75" customHeight="1">
      <c r="A60" s="33" t="s">
        <v>155</v>
      </c>
      <c r="B60" s="34" t="s">
        <v>156</v>
      </c>
      <c r="C60" s="81"/>
      <c r="D60" s="81"/>
      <c r="E60" s="81"/>
      <c r="F60" s="81"/>
      <c r="G60" s="81"/>
      <c r="H60" s="81"/>
      <c r="I60" s="81">
        <f t="shared" si="126"/>
        <v>0</v>
      </c>
      <c r="J60" s="81">
        <f t="shared" si="126"/>
        <v>0</v>
      </c>
      <c r="K60" s="81">
        <f t="shared" si="126"/>
        <v>0</v>
      </c>
      <c r="L60" s="81"/>
      <c r="M60" s="81"/>
      <c r="N60" s="81"/>
      <c r="O60" s="81"/>
      <c r="P60" s="81"/>
      <c r="Q60" s="81"/>
      <c r="R60" s="87">
        <f t="shared" si="127"/>
        <v>0</v>
      </c>
      <c r="S60" s="87">
        <f t="shared" si="127"/>
        <v>0</v>
      </c>
      <c r="T60" s="87">
        <f t="shared" si="127"/>
        <v>0</v>
      </c>
      <c r="U60" s="81"/>
      <c r="V60" s="81"/>
      <c r="W60" s="81"/>
      <c r="X60" s="87"/>
      <c r="Y60" s="81"/>
      <c r="Z60" s="81"/>
      <c r="AA60" s="87">
        <f t="shared" si="128"/>
        <v>0</v>
      </c>
      <c r="AB60" s="87">
        <f t="shared" si="128"/>
        <v>0</v>
      </c>
      <c r="AC60" s="87">
        <f t="shared" si="128"/>
        <v>0</v>
      </c>
      <c r="AD60" s="81"/>
      <c r="AE60" s="81"/>
      <c r="AF60" s="81"/>
      <c r="AG60" s="81"/>
      <c r="AH60" s="81"/>
      <c r="AI60" s="81"/>
      <c r="AJ60" s="81"/>
      <c r="AK60" s="81"/>
      <c r="AL60" s="81"/>
      <c r="AM60" s="87">
        <f t="shared" si="129"/>
        <v>0</v>
      </c>
      <c r="AN60" s="87">
        <f t="shared" si="129"/>
        <v>0</v>
      </c>
      <c r="AO60" s="87">
        <f t="shared" si="129"/>
        <v>0</v>
      </c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7">
        <f t="shared" si="130"/>
        <v>0</v>
      </c>
      <c r="BX60" s="87">
        <f t="shared" si="130"/>
        <v>0</v>
      </c>
      <c r="BY60" s="87">
        <f t="shared" si="130"/>
        <v>0</v>
      </c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>
        <f t="shared" si="131"/>
        <v>0</v>
      </c>
      <c r="CS60" s="81">
        <f t="shared" si="131"/>
        <v>0</v>
      </c>
      <c r="CT60" s="81">
        <f t="shared" si="131"/>
        <v>0</v>
      </c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>
        <f t="shared" si="132"/>
        <v>0</v>
      </c>
      <c r="DK60" s="81">
        <f t="shared" si="132"/>
        <v>0</v>
      </c>
      <c r="DL60" s="81">
        <f t="shared" si="132"/>
        <v>0</v>
      </c>
      <c r="DM60" s="81"/>
      <c r="DN60" s="81"/>
      <c r="DO60" s="81"/>
      <c r="DP60" s="81"/>
      <c r="DQ60" s="81"/>
      <c r="DR60" s="81"/>
      <c r="DS60" s="81">
        <f t="shared" si="133"/>
        <v>0</v>
      </c>
      <c r="DT60" s="81">
        <f t="shared" si="133"/>
        <v>0</v>
      </c>
      <c r="DU60" s="81">
        <f t="shared" si="133"/>
        <v>0</v>
      </c>
      <c r="DV60" s="81"/>
      <c r="DW60" s="81"/>
      <c r="DX60" s="81"/>
      <c r="DY60" s="81"/>
      <c r="DZ60" s="81"/>
      <c r="EA60" s="81"/>
      <c r="EB60" s="81">
        <f t="shared" si="134"/>
        <v>0</v>
      </c>
      <c r="EC60" s="81">
        <f t="shared" si="134"/>
        <v>0</v>
      </c>
      <c r="ED60" s="81">
        <f t="shared" si="134"/>
        <v>0</v>
      </c>
      <c r="EE60" s="87">
        <f t="shared" si="135"/>
        <v>0</v>
      </c>
      <c r="EF60" s="87">
        <f t="shared" si="135"/>
        <v>0</v>
      </c>
      <c r="EG60" s="87">
        <f t="shared" si="135"/>
        <v>0</v>
      </c>
      <c r="EH60" s="96" t="s">
        <v>156</v>
      </c>
    </row>
    <row r="61" spans="1:151" ht="12" customHeight="1">
      <c r="A61" s="33" t="s">
        <v>157</v>
      </c>
      <c r="B61" s="34" t="s">
        <v>158</v>
      </c>
      <c r="C61" s="81"/>
      <c r="D61" s="81"/>
      <c r="E61" s="81"/>
      <c r="F61" s="81"/>
      <c r="G61" s="81"/>
      <c r="H61" s="81"/>
      <c r="I61" s="81">
        <f t="shared" si="126"/>
        <v>0</v>
      </c>
      <c r="J61" s="81">
        <f t="shared" si="126"/>
        <v>0</v>
      </c>
      <c r="K61" s="81">
        <f t="shared" si="126"/>
        <v>0</v>
      </c>
      <c r="L61" s="81"/>
      <c r="M61" s="81"/>
      <c r="N61" s="81"/>
      <c r="O61" s="81"/>
      <c r="P61" s="81"/>
      <c r="Q61" s="81"/>
      <c r="R61" s="87">
        <f t="shared" si="127"/>
        <v>0</v>
      </c>
      <c r="S61" s="87">
        <f t="shared" si="127"/>
        <v>0</v>
      </c>
      <c r="T61" s="87">
        <f t="shared" si="127"/>
        <v>0</v>
      </c>
      <c r="U61" s="81"/>
      <c r="V61" s="81"/>
      <c r="W61" s="81"/>
      <c r="X61" s="81"/>
      <c r="Y61" s="81"/>
      <c r="Z61" s="81"/>
      <c r="AA61" s="87">
        <f t="shared" si="128"/>
        <v>0</v>
      </c>
      <c r="AB61" s="87">
        <f t="shared" si="128"/>
        <v>0</v>
      </c>
      <c r="AC61" s="87">
        <f t="shared" si="128"/>
        <v>0</v>
      </c>
      <c r="AD61" s="81"/>
      <c r="AE61" s="81"/>
      <c r="AF61" s="81"/>
      <c r="AG61" s="81"/>
      <c r="AH61" s="81"/>
      <c r="AI61" s="81"/>
      <c r="AJ61" s="81"/>
      <c r="AK61" s="81"/>
      <c r="AL61" s="81"/>
      <c r="AM61" s="87">
        <f t="shared" si="129"/>
        <v>0</v>
      </c>
      <c r="AN61" s="87">
        <f t="shared" si="129"/>
        <v>0</v>
      </c>
      <c r="AO61" s="87">
        <f t="shared" si="129"/>
        <v>0</v>
      </c>
      <c r="AP61" s="81">
        <v>1008119</v>
      </c>
      <c r="AQ61" s="81">
        <f>1008119+552642</f>
        <v>1560761</v>
      </c>
      <c r="AR61" s="81">
        <v>1016142</v>
      </c>
      <c r="AS61" s="81"/>
      <c r="AT61" s="81"/>
      <c r="AU61" s="81"/>
      <c r="AV61" s="81">
        <v>211496</v>
      </c>
      <c r="AW61" s="81">
        <f>211496+830917</f>
        <v>1042413</v>
      </c>
      <c r="AX61" s="81">
        <v>1185813</v>
      </c>
      <c r="AY61" s="81">
        <v>4649462</v>
      </c>
      <c r="AZ61" s="81">
        <v>4649462</v>
      </c>
      <c r="BA61" s="81">
        <f>30000+100000+3263+10000+27484+20583+2106+2106+116500+2741+40000+3800000</f>
        <v>4154783</v>
      </c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7">
        <f t="shared" si="130"/>
        <v>5869077</v>
      </c>
      <c r="BX61" s="87">
        <f t="shared" si="130"/>
        <v>7252636</v>
      </c>
      <c r="BY61" s="87">
        <f t="shared" si="130"/>
        <v>6356738</v>
      </c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>
        <v>20000</v>
      </c>
      <c r="CP61" s="81">
        <v>20000</v>
      </c>
      <c r="CQ61" s="81">
        <v>20000</v>
      </c>
      <c r="CR61" s="81">
        <f t="shared" si="131"/>
        <v>20000</v>
      </c>
      <c r="CS61" s="81">
        <f t="shared" si="131"/>
        <v>20000</v>
      </c>
      <c r="CT61" s="81">
        <f t="shared" si="131"/>
        <v>20000</v>
      </c>
      <c r="CU61" s="81"/>
      <c r="CV61" s="81"/>
      <c r="CW61" s="81"/>
      <c r="CX61" s="81">
        <v>99865</v>
      </c>
      <c r="CY61" s="81">
        <v>99865</v>
      </c>
      <c r="CZ61" s="81">
        <f>17100+3120+10000+15500</f>
        <v>45720</v>
      </c>
      <c r="DA61" s="81">
        <v>0</v>
      </c>
      <c r="DB61" s="81">
        <v>0</v>
      </c>
      <c r="DC61" s="81">
        <v>0</v>
      </c>
      <c r="DD61" s="81"/>
      <c r="DE61" s="81"/>
      <c r="DF61" s="81"/>
      <c r="DG61" s="81"/>
      <c r="DH61" s="81"/>
      <c r="DI61" s="81"/>
      <c r="DJ61" s="81">
        <f t="shared" si="132"/>
        <v>0</v>
      </c>
      <c r="DK61" s="81">
        <f t="shared" si="132"/>
        <v>0</v>
      </c>
      <c r="DL61" s="81">
        <f t="shared" si="132"/>
        <v>0</v>
      </c>
      <c r="DM61" s="81"/>
      <c r="DN61" s="81"/>
      <c r="DO61" s="81"/>
      <c r="DP61" s="81"/>
      <c r="DQ61" s="81"/>
      <c r="DR61" s="81"/>
      <c r="DS61" s="81">
        <f t="shared" si="133"/>
        <v>99865</v>
      </c>
      <c r="DT61" s="81">
        <f t="shared" si="133"/>
        <v>99865</v>
      </c>
      <c r="DU61" s="81">
        <f t="shared" si="133"/>
        <v>45720</v>
      </c>
      <c r="DV61" s="81"/>
      <c r="DW61" s="81"/>
      <c r="DX61" s="81"/>
      <c r="DY61" s="81"/>
      <c r="DZ61" s="81"/>
      <c r="EA61" s="81"/>
      <c r="EB61" s="81">
        <f t="shared" si="134"/>
        <v>0</v>
      </c>
      <c r="EC61" s="81">
        <f t="shared" si="134"/>
        <v>0</v>
      </c>
      <c r="ED61" s="81">
        <f t="shared" si="134"/>
        <v>0</v>
      </c>
      <c r="EE61" s="87">
        <f t="shared" si="135"/>
        <v>5988942</v>
      </c>
      <c r="EF61" s="87">
        <f t="shared" si="135"/>
        <v>7372501</v>
      </c>
      <c r="EG61" s="87">
        <f t="shared" si="135"/>
        <v>6422458</v>
      </c>
      <c r="EH61" s="96" t="s">
        <v>158</v>
      </c>
    </row>
    <row r="62" spans="1:151" ht="13.5" customHeight="1">
      <c r="A62" s="33" t="s">
        <v>159</v>
      </c>
      <c r="B62" s="34" t="s">
        <v>160</v>
      </c>
      <c r="C62" s="81"/>
      <c r="D62" s="81"/>
      <c r="E62" s="81"/>
      <c r="F62" s="81"/>
      <c r="G62" s="81"/>
      <c r="H62" s="81"/>
      <c r="I62" s="81">
        <f t="shared" si="126"/>
        <v>0</v>
      </c>
      <c r="J62" s="81">
        <f t="shared" si="126"/>
        <v>0</v>
      </c>
      <c r="K62" s="81">
        <f t="shared" si="126"/>
        <v>0</v>
      </c>
      <c r="L62" s="81"/>
      <c r="M62" s="81"/>
      <c r="N62" s="81"/>
      <c r="O62" s="81"/>
      <c r="P62" s="81"/>
      <c r="Q62" s="81"/>
      <c r="R62" s="87">
        <f t="shared" si="127"/>
        <v>0</v>
      </c>
      <c r="S62" s="87">
        <f t="shared" si="127"/>
        <v>0</v>
      </c>
      <c r="T62" s="87">
        <f t="shared" si="127"/>
        <v>0</v>
      </c>
      <c r="U62" s="81"/>
      <c r="V62" s="81"/>
      <c r="W62" s="81"/>
      <c r="X62" s="81">
        <v>3000</v>
      </c>
      <c r="Y62" s="81">
        <v>3000</v>
      </c>
      <c r="Z62" s="81"/>
      <c r="AA62" s="87">
        <f t="shared" si="128"/>
        <v>3000</v>
      </c>
      <c r="AB62" s="87">
        <f t="shared" si="128"/>
        <v>3000</v>
      </c>
      <c r="AC62" s="87">
        <f t="shared" si="128"/>
        <v>0</v>
      </c>
      <c r="AD62" s="81"/>
      <c r="AE62" s="81"/>
      <c r="AF62" s="81"/>
      <c r="AG62" s="81"/>
      <c r="AH62" s="81"/>
      <c r="AI62" s="81"/>
      <c r="AJ62" s="81"/>
      <c r="AK62" s="81"/>
      <c r="AL62" s="81"/>
      <c r="AM62" s="87">
        <f t="shared" si="129"/>
        <v>0</v>
      </c>
      <c r="AN62" s="87">
        <f t="shared" si="129"/>
        <v>0</v>
      </c>
      <c r="AO62" s="87">
        <f t="shared" si="129"/>
        <v>0</v>
      </c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7">
        <f t="shared" si="130"/>
        <v>0</v>
      </c>
      <c r="BX62" s="87">
        <f t="shared" si="130"/>
        <v>0</v>
      </c>
      <c r="BY62" s="87">
        <f t="shared" si="130"/>
        <v>0</v>
      </c>
      <c r="BZ62" s="81">
        <v>0</v>
      </c>
      <c r="CA62" s="81"/>
      <c r="CB62" s="81">
        <v>0</v>
      </c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>
        <f t="shared" si="131"/>
        <v>0</v>
      </c>
      <c r="CS62" s="81">
        <f t="shared" si="131"/>
        <v>0</v>
      </c>
      <c r="CT62" s="81">
        <f t="shared" si="131"/>
        <v>0</v>
      </c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>
        <f t="shared" si="132"/>
        <v>0</v>
      </c>
      <c r="DK62" s="81">
        <f t="shared" si="132"/>
        <v>0</v>
      </c>
      <c r="DL62" s="81">
        <f t="shared" si="132"/>
        <v>0</v>
      </c>
      <c r="DM62" s="81"/>
      <c r="DN62" s="81"/>
      <c r="DO62" s="81"/>
      <c r="DP62" s="81"/>
      <c r="DQ62" s="81"/>
      <c r="DR62" s="81"/>
      <c r="DS62" s="81">
        <f t="shared" si="133"/>
        <v>0</v>
      </c>
      <c r="DT62" s="81">
        <f t="shared" si="133"/>
        <v>0</v>
      </c>
      <c r="DU62" s="81">
        <f t="shared" si="133"/>
        <v>0</v>
      </c>
      <c r="DV62" s="81"/>
      <c r="DW62" s="81"/>
      <c r="DX62" s="81"/>
      <c r="DY62" s="81"/>
      <c r="DZ62" s="81"/>
      <c r="EA62" s="81"/>
      <c r="EB62" s="81">
        <f t="shared" si="134"/>
        <v>0</v>
      </c>
      <c r="EC62" s="81">
        <f t="shared" si="134"/>
        <v>0</v>
      </c>
      <c r="ED62" s="81">
        <f t="shared" si="134"/>
        <v>0</v>
      </c>
      <c r="EE62" s="87">
        <f t="shared" si="135"/>
        <v>3000</v>
      </c>
      <c r="EF62" s="87">
        <f t="shared" si="135"/>
        <v>3000</v>
      </c>
      <c r="EG62" s="87">
        <f t="shared" si="135"/>
        <v>0</v>
      </c>
      <c r="EH62" s="96" t="s">
        <v>160</v>
      </c>
    </row>
    <row r="63" spans="1:151" s="32" customFormat="1">
      <c r="A63" s="39" t="s">
        <v>161</v>
      </c>
      <c r="B63" s="25" t="s">
        <v>162</v>
      </c>
      <c r="C63" s="86">
        <f>SUM(C64:C65)</f>
        <v>0</v>
      </c>
      <c r="D63" s="86">
        <f>SUM(D64:D65)</f>
        <v>0</v>
      </c>
      <c r="E63" s="86">
        <f t="shared" ref="E63:V63" si="136">SUM(E64:E65)</f>
        <v>0</v>
      </c>
      <c r="F63" s="86">
        <f>SUM(F64:F65)</f>
        <v>0</v>
      </c>
      <c r="G63" s="86">
        <f>SUM(G64:G65)</f>
        <v>0</v>
      </c>
      <c r="H63" s="86">
        <f t="shared" si="136"/>
        <v>0</v>
      </c>
      <c r="I63" s="86">
        <f t="shared" si="136"/>
        <v>0</v>
      </c>
      <c r="J63" s="86">
        <f t="shared" si="136"/>
        <v>0</v>
      </c>
      <c r="K63" s="86">
        <f t="shared" si="136"/>
        <v>0</v>
      </c>
      <c r="L63" s="86">
        <f>SUM(L64:L65)</f>
        <v>0</v>
      </c>
      <c r="M63" s="86">
        <f>SUM(M64:M65)</f>
        <v>0</v>
      </c>
      <c r="N63" s="86">
        <f t="shared" si="136"/>
        <v>0</v>
      </c>
      <c r="O63" s="86">
        <f t="shared" si="136"/>
        <v>0</v>
      </c>
      <c r="P63" s="86">
        <f t="shared" si="136"/>
        <v>0</v>
      </c>
      <c r="Q63" s="86">
        <f t="shared" si="136"/>
        <v>0</v>
      </c>
      <c r="R63" s="86">
        <f t="shared" si="136"/>
        <v>0</v>
      </c>
      <c r="S63" s="86">
        <f t="shared" si="136"/>
        <v>0</v>
      </c>
      <c r="T63" s="86">
        <f t="shared" si="136"/>
        <v>0</v>
      </c>
      <c r="U63" s="86">
        <f t="shared" si="136"/>
        <v>0</v>
      </c>
      <c r="V63" s="86">
        <f t="shared" si="136"/>
        <v>0</v>
      </c>
      <c r="W63" s="86">
        <f t="shared" ref="W63:BR63" si="137">SUM(W64:W65)</f>
        <v>0</v>
      </c>
      <c r="X63" s="86">
        <f t="shared" si="137"/>
        <v>0</v>
      </c>
      <c r="Y63" s="86">
        <f t="shared" si="137"/>
        <v>0</v>
      </c>
      <c r="Z63" s="86">
        <f t="shared" si="137"/>
        <v>0</v>
      </c>
      <c r="AA63" s="86">
        <f t="shared" si="137"/>
        <v>0</v>
      </c>
      <c r="AB63" s="86">
        <f t="shared" si="137"/>
        <v>0</v>
      </c>
      <c r="AC63" s="86">
        <f t="shared" si="137"/>
        <v>0</v>
      </c>
      <c r="AD63" s="86">
        <f t="shared" si="137"/>
        <v>0</v>
      </c>
      <c r="AE63" s="86">
        <f t="shared" si="137"/>
        <v>0</v>
      </c>
      <c r="AF63" s="86">
        <f t="shared" si="137"/>
        <v>0</v>
      </c>
      <c r="AG63" s="86">
        <f t="shared" si="137"/>
        <v>0</v>
      </c>
      <c r="AH63" s="86">
        <f t="shared" si="137"/>
        <v>0</v>
      </c>
      <c r="AI63" s="86">
        <f t="shared" si="137"/>
        <v>0</v>
      </c>
      <c r="AJ63" s="86">
        <f t="shared" si="137"/>
        <v>0</v>
      </c>
      <c r="AK63" s="86">
        <f t="shared" si="137"/>
        <v>0</v>
      </c>
      <c r="AL63" s="86">
        <f t="shared" si="137"/>
        <v>0</v>
      </c>
      <c r="AM63" s="86">
        <f t="shared" si="137"/>
        <v>0</v>
      </c>
      <c r="AN63" s="86">
        <f t="shared" si="137"/>
        <v>0</v>
      </c>
      <c r="AO63" s="86">
        <f t="shared" si="137"/>
        <v>0</v>
      </c>
      <c r="AP63" s="86">
        <f>SUM(AP64:AP65)</f>
        <v>0</v>
      </c>
      <c r="AQ63" s="86">
        <f t="shared" si="137"/>
        <v>0</v>
      </c>
      <c r="AR63" s="86">
        <f t="shared" si="137"/>
        <v>0</v>
      </c>
      <c r="AS63" s="86">
        <f t="shared" si="137"/>
        <v>0</v>
      </c>
      <c r="AT63" s="86">
        <f t="shared" si="137"/>
        <v>0</v>
      </c>
      <c r="AU63" s="86">
        <f t="shared" si="137"/>
        <v>0</v>
      </c>
      <c r="AV63" s="83">
        <f t="shared" si="137"/>
        <v>0</v>
      </c>
      <c r="AW63" s="86">
        <f t="shared" si="137"/>
        <v>0</v>
      </c>
      <c r="AX63" s="86">
        <f t="shared" si="137"/>
        <v>0</v>
      </c>
      <c r="AY63" s="83">
        <f t="shared" si="137"/>
        <v>142100</v>
      </c>
      <c r="AZ63" s="86">
        <f>SUM(AZ64:AZ65)</f>
        <v>142100</v>
      </c>
      <c r="BA63" s="86">
        <f t="shared" si="137"/>
        <v>122800</v>
      </c>
      <c r="BB63" s="86">
        <f t="shared" si="137"/>
        <v>0</v>
      </c>
      <c r="BC63" s="86">
        <f t="shared" si="137"/>
        <v>0</v>
      </c>
      <c r="BD63" s="86">
        <f t="shared" si="137"/>
        <v>0</v>
      </c>
      <c r="BE63" s="86">
        <f t="shared" si="137"/>
        <v>0</v>
      </c>
      <c r="BF63" s="86">
        <f t="shared" si="137"/>
        <v>0</v>
      </c>
      <c r="BG63" s="86">
        <f t="shared" si="137"/>
        <v>0</v>
      </c>
      <c r="BH63" s="86">
        <f t="shared" si="137"/>
        <v>0</v>
      </c>
      <c r="BI63" s="86">
        <f t="shared" si="137"/>
        <v>0</v>
      </c>
      <c r="BJ63" s="86">
        <f t="shared" si="137"/>
        <v>0</v>
      </c>
      <c r="BK63" s="86">
        <f t="shared" si="137"/>
        <v>0</v>
      </c>
      <c r="BL63" s="86">
        <f t="shared" si="137"/>
        <v>0</v>
      </c>
      <c r="BM63" s="86">
        <f t="shared" si="137"/>
        <v>0</v>
      </c>
      <c r="BN63" s="86">
        <f t="shared" si="137"/>
        <v>0</v>
      </c>
      <c r="BO63" s="86">
        <f t="shared" si="137"/>
        <v>0</v>
      </c>
      <c r="BP63" s="86">
        <f t="shared" si="137"/>
        <v>0</v>
      </c>
      <c r="BQ63" s="86">
        <f t="shared" si="137"/>
        <v>0</v>
      </c>
      <c r="BR63" s="86">
        <f t="shared" si="137"/>
        <v>0</v>
      </c>
      <c r="BS63" s="86">
        <f t="shared" ref="BS63:DN63" si="138">SUM(BS64:BS65)</f>
        <v>0</v>
      </c>
      <c r="BT63" s="86">
        <f t="shared" si="138"/>
        <v>0</v>
      </c>
      <c r="BU63" s="86">
        <f t="shared" si="138"/>
        <v>0</v>
      </c>
      <c r="BV63" s="86">
        <f t="shared" si="138"/>
        <v>0</v>
      </c>
      <c r="BW63" s="86">
        <f t="shared" si="138"/>
        <v>142100</v>
      </c>
      <c r="BX63" s="86">
        <f t="shared" si="138"/>
        <v>142100</v>
      </c>
      <c r="BY63" s="86">
        <f t="shared" si="138"/>
        <v>122800</v>
      </c>
      <c r="BZ63" s="83">
        <f t="shared" si="138"/>
        <v>0</v>
      </c>
      <c r="CA63" s="86">
        <f>SUM(CA64:CA65)</f>
        <v>0</v>
      </c>
      <c r="CB63" s="86">
        <f t="shared" si="138"/>
        <v>0</v>
      </c>
      <c r="CC63" s="86">
        <f t="shared" si="138"/>
        <v>0</v>
      </c>
      <c r="CD63" s="86">
        <f t="shared" si="138"/>
        <v>0</v>
      </c>
      <c r="CE63" s="86">
        <f t="shared" si="138"/>
        <v>0</v>
      </c>
      <c r="CF63" s="86">
        <f t="shared" si="138"/>
        <v>0</v>
      </c>
      <c r="CG63" s="86">
        <f t="shared" si="138"/>
        <v>0</v>
      </c>
      <c r="CH63" s="86">
        <f t="shared" si="138"/>
        <v>0</v>
      </c>
      <c r="CI63" s="86">
        <f t="shared" si="138"/>
        <v>0</v>
      </c>
      <c r="CJ63" s="86">
        <f t="shared" si="138"/>
        <v>0</v>
      </c>
      <c r="CK63" s="86">
        <f t="shared" si="138"/>
        <v>0</v>
      </c>
      <c r="CL63" s="86">
        <f t="shared" si="138"/>
        <v>0</v>
      </c>
      <c r="CM63" s="86">
        <f t="shared" si="138"/>
        <v>0</v>
      </c>
      <c r="CN63" s="86">
        <f t="shared" si="138"/>
        <v>0</v>
      </c>
      <c r="CO63" s="83">
        <f t="shared" si="138"/>
        <v>28395</v>
      </c>
      <c r="CP63" s="83">
        <f>SUM(CP64:CP65)</f>
        <v>28395</v>
      </c>
      <c r="CQ63" s="86">
        <f t="shared" si="138"/>
        <v>28395</v>
      </c>
      <c r="CR63" s="86">
        <f t="shared" si="138"/>
        <v>28395</v>
      </c>
      <c r="CS63" s="86">
        <f t="shared" si="138"/>
        <v>28395</v>
      </c>
      <c r="CT63" s="86">
        <f t="shared" si="138"/>
        <v>28395</v>
      </c>
      <c r="CU63" s="86">
        <f t="shared" si="138"/>
        <v>0</v>
      </c>
      <c r="CV63" s="86">
        <f t="shared" si="138"/>
        <v>0</v>
      </c>
      <c r="CW63" s="86">
        <f t="shared" si="138"/>
        <v>0</v>
      </c>
      <c r="CX63" s="86">
        <f t="shared" si="138"/>
        <v>0</v>
      </c>
      <c r="CY63" s="86">
        <f t="shared" si="138"/>
        <v>0</v>
      </c>
      <c r="CZ63" s="86">
        <f t="shared" si="138"/>
        <v>0</v>
      </c>
      <c r="DA63" s="86">
        <f t="shared" si="138"/>
        <v>0</v>
      </c>
      <c r="DB63" s="86">
        <f t="shared" si="138"/>
        <v>0</v>
      </c>
      <c r="DC63" s="86">
        <f t="shared" si="138"/>
        <v>0</v>
      </c>
      <c r="DD63" s="86">
        <f t="shared" si="138"/>
        <v>0</v>
      </c>
      <c r="DE63" s="86">
        <f t="shared" si="138"/>
        <v>0</v>
      </c>
      <c r="DF63" s="86">
        <f t="shared" si="138"/>
        <v>0</v>
      </c>
      <c r="DG63" s="86">
        <f t="shared" si="138"/>
        <v>0</v>
      </c>
      <c r="DH63" s="86">
        <f t="shared" si="138"/>
        <v>0</v>
      </c>
      <c r="DI63" s="86">
        <f t="shared" si="138"/>
        <v>0</v>
      </c>
      <c r="DJ63" s="86">
        <f t="shared" si="138"/>
        <v>0</v>
      </c>
      <c r="DK63" s="86">
        <f t="shared" si="138"/>
        <v>0</v>
      </c>
      <c r="DL63" s="86">
        <f t="shared" si="138"/>
        <v>0</v>
      </c>
      <c r="DM63" s="86">
        <f t="shared" si="138"/>
        <v>0</v>
      </c>
      <c r="DN63" s="86">
        <f t="shared" si="138"/>
        <v>0</v>
      </c>
      <c r="DO63" s="86">
        <f t="shared" ref="DO63:EG63" si="139">SUM(DO64:DO65)</f>
        <v>0</v>
      </c>
      <c r="DP63" s="86">
        <f t="shared" si="139"/>
        <v>0</v>
      </c>
      <c r="DQ63" s="86">
        <f t="shared" si="139"/>
        <v>0</v>
      </c>
      <c r="DR63" s="86">
        <f t="shared" si="139"/>
        <v>0</v>
      </c>
      <c r="DS63" s="86">
        <f t="shared" si="139"/>
        <v>0</v>
      </c>
      <c r="DT63" s="86">
        <f t="shared" si="139"/>
        <v>0</v>
      </c>
      <c r="DU63" s="86">
        <f t="shared" si="139"/>
        <v>0</v>
      </c>
      <c r="DV63" s="86">
        <f t="shared" si="139"/>
        <v>0</v>
      </c>
      <c r="DW63" s="86">
        <f t="shared" si="139"/>
        <v>0</v>
      </c>
      <c r="DX63" s="86">
        <f t="shared" si="139"/>
        <v>0</v>
      </c>
      <c r="DY63" s="86">
        <f t="shared" si="139"/>
        <v>0</v>
      </c>
      <c r="DZ63" s="86">
        <f t="shared" si="139"/>
        <v>0</v>
      </c>
      <c r="EA63" s="86">
        <f t="shared" si="139"/>
        <v>0</v>
      </c>
      <c r="EB63" s="86">
        <f t="shared" si="139"/>
        <v>0</v>
      </c>
      <c r="EC63" s="86">
        <f t="shared" si="139"/>
        <v>0</v>
      </c>
      <c r="ED63" s="86">
        <f t="shared" si="139"/>
        <v>0</v>
      </c>
      <c r="EE63" s="86">
        <f t="shared" si="139"/>
        <v>170495</v>
      </c>
      <c r="EF63" s="86">
        <f t="shared" si="139"/>
        <v>170495</v>
      </c>
      <c r="EG63" s="86">
        <f t="shared" si="139"/>
        <v>151195</v>
      </c>
      <c r="EH63" s="94" t="s">
        <v>162</v>
      </c>
      <c r="ER63" s="59"/>
    </row>
    <row r="64" spans="1:151">
      <c r="A64" s="33" t="s">
        <v>163</v>
      </c>
      <c r="B64" s="34" t="s">
        <v>164</v>
      </c>
      <c r="C64" s="81"/>
      <c r="D64" s="81"/>
      <c r="E64" s="81"/>
      <c r="F64" s="81"/>
      <c r="G64" s="81"/>
      <c r="H64" s="81"/>
      <c r="I64" s="81">
        <f t="shared" ref="I64:K67" si="140">SUM(C64,F64)</f>
        <v>0</v>
      </c>
      <c r="J64" s="81">
        <f t="shared" si="140"/>
        <v>0</v>
      </c>
      <c r="K64" s="81">
        <f t="shared" si="140"/>
        <v>0</v>
      </c>
      <c r="L64" s="81"/>
      <c r="M64" s="81"/>
      <c r="N64" s="81"/>
      <c r="O64" s="81"/>
      <c r="P64" s="81"/>
      <c r="Q64" s="81"/>
      <c r="R64" s="87">
        <f t="shared" ref="R64:T67" si="141">SUM(L64,O64)</f>
        <v>0</v>
      </c>
      <c r="S64" s="87">
        <f t="shared" si="141"/>
        <v>0</v>
      </c>
      <c r="T64" s="87">
        <f t="shared" si="141"/>
        <v>0</v>
      </c>
      <c r="U64" s="81">
        <v>0</v>
      </c>
      <c r="V64" s="81">
        <v>0</v>
      </c>
      <c r="W64" s="81">
        <v>0</v>
      </c>
      <c r="X64" s="81"/>
      <c r="Y64" s="81"/>
      <c r="Z64" s="81"/>
      <c r="AA64" s="87">
        <f t="shared" ref="AA64:AC67" si="142">U64+X64</f>
        <v>0</v>
      </c>
      <c r="AB64" s="87">
        <f t="shared" si="142"/>
        <v>0</v>
      </c>
      <c r="AC64" s="87">
        <f t="shared" si="142"/>
        <v>0</v>
      </c>
      <c r="AD64" s="81"/>
      <c r="AE64" s="81"/>
      <c r="AF64" s="81"/>
      <c r="AG64" s="81"/>
      <c r="AH64" s="81"/>
      <c r="AI64" s="81"/>
      <c r="AJ64" s="81"/>
      <c r="AK64" s="81"/>
      <c r="AL64" s="81"/>
      <c r="AM64" s="87">
        <f t="shared" ref="AM64:AO67" si="143">AD64+AG64+AJ64</f>
        <v>0</v>
      </c>
      <c r="AN64" s="87">
        <f t="shared" si="143"/>
        <v>0</v>
      </c>
      <c r="AO64" s="87">
        <f t="shared" si="143"/>
        <v>0</v>
      </c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7">
        <f t="shared" ref="BW64:BY67" si="144">SUM(AP64,AS64,AV64,AY64,BB64,BE64,BH64,BK64,BN64,BQ64,BT64)</f>
        <v>0</v>
      </c>
      <c r="BX64" s="87">
        <f t="shared" si="144"/>
        <v>0</v>
      </c>
      <c r="BY64" s="87">
        <f t="shared" si="144"/>
        <v>0</v>
      </c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>
        <f t="shared" ref="CR64:CT67" si="145">SUM(BZ64,CC64,CF64,CI64,CL64,CO64)</f>
        <v>0</v>
      </c>
      <c r="CS64" s="81">
        <f t="shared" si="145"/>
        <v>0</v>
      </c>
      <c r="CT64" s="81">
        <f t="shared" si="145"/>
        <v>0</v>
      </c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>
        <f t="shared" ref="DJ64:DL67" si="146">SUM(DM64,DP64)</f>
        <v>0</v>
      </c>
      <c r="DK64" s="81">
        <f t="shared" si="146"/>
        <v>0</v>
      </c>
      <c r="DL64" s="81">
        <f t="shared" si="146"/>
        <v>0</v>
      </c>
      <c r="DM64" s="81"/>
      <c r="DN64" s="81"/>
      <c r="DO64" s="81"/>
      <c r="DP64" s="81"/>
      <c r="DQ64" s="81"/>
      <c r="DR64" s="81"/>
      <c r="DS64" s="81">
        <f t="shared" ref="DS64:DU65" si="147">SUM(CU64,CX64,DA64,DD64,DG64,DJ64)</f>
        <v>0</v>
      </c>
      <c r="DT64" s="81">
        <f t="shared" si="147"/>
        <v>0</v>
      </c>
      <c r="DU64" s="81">
        <f t="shared" si="147"/>
        <v>0</v>
      </c>
      <c r="DV64" s="81"/>
      <c r="DW64" s="81"/>
      <c r="DX64" s="81"/>
      <c r="DY64" s="81"/>
      <c r="DZ64" s="81"/>
      <c r="EA64" s="81"/>
      <c r="EB64" s="81">
        <f t="shared" ref="EB64:ED68" si="148">SUM(DV64,DY64)</f>
        <v>0</v>
      </c>
      <c r="EC64" s="81">
        <f t="shared" si="148"/>
        <v>0</v>
      </c>
      <c r="ED64" s="81">
        <f t="shared" si="148"/>
        <v>0</v>
      </c>
      <c r="EE64" s="87">
        <f t="shared" ref="EE64:EG67" si="149">SUM(I64,R64,AA64,AM64,BW64,CR64,DS64,EB64)</f>
        <v>0</v>
      </c>
      <c r="EF64" s="87">
        <f t="shared" si="149"/>
        <v>0</v>
      </c>
      <c r="EG64" s="87">
        <f t="shared" si="149"/>
        <v>0</v>
      </c>
      <c r="EH64" s="96" t="s">
        <v>164</v>
      </c>
    </row>
    <row r="65" spans="1:148">
      <c r="A65" s="33" t="s">
        <v>165</v>
      </c>
      <c r="B65" s="34" t="s">
        <v>166</v>
      </c>
      <c r="C65" s="81"/>
      <c r="D65" s="81"/>
      <c r="E65" s="81"/>
      <c r="F65" s="81"/>
      <c r="G65" s="81"/>
      <c r="H65" s="81"/>
      <c r="I65" s="81">
        <f t="shared" si="140"/>
        <v>0</v>
      </c>
      <c r="J65" s="81">
        <f t="shared" si="140"/>
        <v>0</v>
      </c>
      <c r="K65" s="81">
        <f t="shared" si="140"/>
        <v>0</v>
      </c>
      <c r="L65" s="81"/>
      <c r="M65" s="81"/>
      <c r="N65" s="81"/>
      <c r="O65" s="81"/>
      <c r="P65" s="81"/>
      <c r="Q65" s="81"/>
      <c r="R65" s="87">
        <f t="shared" si="141"/>
        <v>0</v>
      </c>
      <c r="S65" s="87">
        <f t="shared" si="141"/>
        <v>0</v>
      </c>
      <c r="T65" s="87">
        <f t="shared" si="141"/>
        <v>0</v>
      </c>
      <c r="U65" s="81">
        <v>0</v>
      </c>
      <c r="V65" s="81">
        <v>0</v>
      </c>
      <c r="W65" s="81">
        <v>0</v>
      </c>
      <c r="X65" s="81"/>
      <c r="Y65" s="81"/>
      <c r="Z65" s="81"/>
      <c r="AA65" s="87">
        <f t="shared" si="142"/>
        <v>0</v>
      </c>
      <c r="AB65" s="87">
        <f t="shared" si="142"/>
        <v>0</v>
      </c>
      <c r="AC65" s="87">
        <f t="shared" si="142"/>
        <v>0</v>
      </c>
      <c r="AD65" s="81"/>
      <c r="AE65" s="81"/>
      <c r="AF65" s="81"/>
      <c r="AG65" s="81"/>
      <c r="AH65" s="81"/>
      <c r="AI65" s="81"/>
      <c r="AJ65" s="81"/>
      <c r="AK65" s="81"/>
      <c r="AL65" s="81"/>
      <c r="AM65" s="87">
        <f t="shared" si="143"/>
        <v>0</v>
      </c>
      <c r="AN65" s="87">
        <f t="shared" si="143"/>
        <v>0</v>
      </c>
      <c r="AO65" s="87">
        <f t="shared" si="143"/>
        <v>0</v>
      </c>
      <c r="AP65" s="81"/>
      <c r="AQ65" s="81"/>
      <c r="AR65" s="81"/>
      <c r="AS65" s="81"/>
      <c r="AT65" s="81"/>
      <c r="AU65" s="81"/>
      <c r="AV65" s="81"/>
      <c r="AW65" s="81"/>
      <c r="AX65" s="81"/>
      <c r="AY65" s="81">
        <v>142100</v>
      </c>
      <c r="AZ65" s="81">
        <v>142100</v>
      </c>
      <c r="BA65" s="81">
        <v>122800</v>
      </c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7">
        <f t="shared" si="144"/>
        <v>142100</v>
      </c>
      <c r="BX65" s="87">
        <f t="shared" si="144"/>
        <v>142100</v>
      </c>
      <c r="BY65" s="87">
        <f t="shared" si="144"/>
        <v>122800</v>
      </c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>
        <v>28395</v>
      </c>
      <c r="CP65" s="81">
        <v>28395</v>
      </c>
      <c r="CQ65" s="81">
        <v>28395</v>
      </c>
      <c r="CR65" s="81">
        <f t="shared" si="145"/>
        <v>28395</v>
      </c>
      <c r="CS65" s="81">
        <f t="shared" si="145"/>
        <v>28395</v>
      </c>
      <c r="CT65" s="81">
        <f t="shared" si="145"/>
        <v>28395</v>
      </c>
      <c r="CU65" s="81"/>
      <c r="CV65" s="81"/>
      <c r="CW65" s="81"/>
      <c r="CX65" s="81">
        <v>0</v>
      </c>
      <c r="CY65" s="81">
        <v>0</v>
      </c>
      <c r="CZ65" s="81">
        <v>0</v>
      </c>
      <c r="DA65" s="81"/>
      <c r="DB65" s="81"/>
      <c r="DC65" s="81"/>
      <c r="DD65" s="81"/>
      <c r="DE65" s="81"/>
      <c r="DF65" s="81"/>
      <c r="DG65" s="81"/>
      <c r="DH65" s="81"/>
      <c r="DI65" s="81"/>
      <c r="DJ65" s="81">
        <f t="shared" si="146"/>
        <v>0</v>
      </c>
      <c r="DK65" s="81">
        <f t="shared" si="146"/>
        <v>0</v>
      </c>
      <c r="DL65" s="81">
        <f t="shared" si="146"/>
        <v>0</v>
      </c>
      <c r="DM65" s="81"/>
      <c r="DN65" s="81"/>
      <c r="DO65" s="81"/>
      <c r="DP65" s="81"/>
      <c r="DQ65" s="81"/>
      <c r="DR65" s="81"/>
      <c r="DS65" s="81">
        <f t="shared" si="147"/>
        <v>0</v>
      </c>
      <c r="DT65" s="81">
        <f t="shared" si="147"/>
        <v>0</v>
      </c>
      <c r="DU65" s="81">
        <f t="shared" si="147"/>
        <v>0</v>
      </c>
      <c r="DV65" s="81"/>
      <c r="DW65" s="81"/>
      <c r="DX65" s="81"/>
      <c r="DY65" s="81"/>
      <c r="DZ65" s="81"/>
      <c r="EA65" s="81"/>
      <c r="EB65" s="81">
        <f t="shared" si="148"/>
        <v>0</v>
      </c>
      <c r="EC65" s="81">
        <f t="shared" si="148"/>
        <v>0</v>
      </c>
      <c r="ED65" s="81">
        <f t="shared" si="148"/>
        <v>0</v>
      </c>
      <c r="EE65" s="87">
        <f t="shared" si="149"/>
        <v>170495</v>
      </c>
      <c r="EF65" s="87">
        <f t="shared" si="149"/>
        <v>170495</v>
      </c>
      <c r="EG65" s="87">
        <f t="shared" si="149"/>
        <v>151195</v>
      </c>
      <c r="EH65" s="96" t="s">
        <v>166</v>
      </c>
    </row>
    <row r="66" spans="1:148" s="32" customFormat="1">
      <c r="A66" s="39" t="s">
        <v>245</v>
      </c>
      <c r="B66" s="25" t="s">
        <v>246</v>
      </c>
      <c r="C66" s="86"/>
      <c r="D66" s="86"/>
      <c r="E66" s="86"/>
      <c r="F66" s="86"/>
      <c r="G66" s="86"/>
      <c r="H66" s="86"/>
      <c r="I66" s="81">
        <f t="shared" si="140"/>
        <v>0</v>
      </c>
      <c r="J66" s="81">
        <f t="shared" si="140"/>
        <v>0</v>
      </c>
      <c r="K66" s="81">
        <f t="shared" si="140"/>
        <v>0</v>
      </c>
      <c r="L66" s="86"/>
      <c r="M66" s="86"/>
      <c r="N66" s="86"/>
      <c r="O66" s="86"/>
      <c r="P66" s="86"/>
      <c r="Q66" s="86"/>
      <c r="R66" s="87">
        <f t="shared" si="141"/>
        <v>0</v>
      </c>
      <c r="S66" s="87">
        <f t="shared" si="141"/>
        <v>0</v>
      </c>
      <c r="T66" s="87">
        <f t="shared" si="141"/>
        <v>0</v>
      </c>
      <c r="U66" s="86">
        <v>0</v>
      </c>
      <c r="V66" s="86">
        <v>0</v>
      </c>
      <c r="W66" s="86">
        <v>0</v>
      </c>
      <c r="X66" s="86"/>
      <c r="Y66" s="86"/>
      <c r="Z66" s="86"/>
      <c r="AA66" s="91">
        <f t="shared" si="142"/>
        <v>0</v>
      </c>
      <c r="AB66" s="91">
        <f t="shared" si="142"/>
        <v>0</v>
      </c>
      <c r="AC66" s="91">
        <f t="shared" si="142"/>
        <v>0</v>
      </c>
      <c r="AD66" s="86"/>
      <c r="AE66" s="86"/>
      <c r="AF66" s="86"/>
      <c r="AG66" s="86"/>
      <c r="AH66" s="86"/>
      <c r="AI66" s="86"/>
      <c r="AJ66" s="86"/>
      <c r="AK66" s="86"/>
      <c r="AL66" s="86"/>
      <c r="AM66" s="92">
        <f t="shared" si="143"/>
        <v>0</v>
      </c>
      <c r="AN66" s="92">
        <f t="shared" si="143"/>
        <v>0</v>
      </c>
      <c r="AO66" s="92">
        <f t="shared" si="143"/>
        <v>0</v>
      </c>
      <c r="AP66" s="86"/>
      <c r="AQ66" s="86"/>
      <c r="AR66" s="86"/>
      <c r="AS66" s="86"/>
      <c r="AT66" s="86"/>
      <c r="AU66" s="86"/>
      <c r="AV66" s="83">
        <v>9400</v>
      </c>
      <c r="AW66" s="83">
        <v>9400</v>
      </c>
      <c r="AX66" s="86">
        <v>9400</v>
      </c>
      <c r="AY66" s="83">
        <v>12900</v>
      </c>
      <c r="AZ66" s="86">
        <v>12900</v>
      </c>
      <c r="BA66" s="86">
        <v>12900</v>
      </c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92">
        <f t="shared" si="144"/>
        <v>22300</v>
      </c>
      <c r="BX66" s="92">
        <f t="shared" si="144"/>
        <v>22300</v>
      </c>
      <c r="BY66" s="92">
        <f t="shared" si="144"/>
        <v>22300</v>
      </c>
      <c r="BZ66" s="83">
        <v>5500</v>
      </c>
      <c r="CA66" s="86">
        <v>5500</v>
      </c>
      <c r="CB66" s="86">
        <v>5500</v>
      </c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3">
        <v>88500</v>
      </c>
      <c r="CP66" s="83">
        <v>88500</v>
      </c>
      <c r="CQ66" s="86">
        <v>28500</v>
      </c>
      <c r="CR66" s="83">
        <f t="shared" si="145"/>
        <v>94000</v>
      </c>
      <c r="CS66" s="83">
        <f t="shared" si="145"/>
        <v>94000</v>
      </c>
      <c r="CT66" s="83">
        <f t="shared" si="145"/>
        <v>34000</v>
      </c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3">
        <f t="shared" si="146"/>
        <v>0</v>
      </c>
      <c r="DK66" s="83">
        <f t="shared" si="146"/>
        <v>0</v>
      </c>
      <c r="DL66" s="83">
        <f t="shared" si="146"/>
        <v>0</v>
      </c>
      <c r="DM66" s="86"/>
      <c r="DN66" s="86"/>
      <c r="DO66" s="86"/>
      <c r="DP66" s="86"/>
      <c r="DQ66" s="86"/>
      <c r="DR66" s="86"/>
      <c r="DS66" s="83">
        <f>SUM(CU66,CX66,DA66,DD66,DJ66)</f>
        <v>0</v>
      </c>
      <c r="DT66" s="83">
        <f>SUM(CV66,CY66,DB66,DE66,DK66)</f>
        <v>0</v>
      </c>
      <c r="DU66" s="83">
        <f>SUM(CW66,CZ66,DC66,DF66,DL66)</f>
        <v>0</v>
      </c>
      <c r="DV66" s="86"/>
      <c r="DW66" s="86"/>
      <c r="DX66" s="86"/>
      <c r="DY66" s="86"/>
      <c r="DZ66" s="86"/>
      <c r="EA66" s="86"/>
      <c r="EB66" s="81">
        <f t="shared" si="148"/>
        <v>0</v>
      </c>
      <c r="EC66" s="81">
        <f t="shared" si="148"/>
        <v>0</v>
      </c>
      <c r="ED66" s="81">
        <f t="shared" si="148"/>
        <v>0</v>
      </c>
      <c r="EE66" s="92">
        <f t="shared" si="149"/>
        <v>116300</v>
      </c>
      <c r="EF66" s="92">
        <f t="shared" si="149"/>
        <v>116300</v>
      </c>
      <c r="EG66" s="92">
        <f t="shared" si="149"/>
        <v>56300</v>
      </c>
      <c r="EH66" s="94" t="s">
        <v>246</v>
      </c>
      <c r="ER66" s="59"/>
    </row>
    <row r="67" spans="1:148" s="32" customFormat="1">
      <c r="A67" s="39" t="s">
        <v>167</v>
      </c>
      <c r="B67" s="62" t="s">
        <v>168</v>
      </c>
      <c r="C67" s="86"/>
      <c r="D67" s="86"/>
      <c r="E67" s="86"/>
      <c r="F67" s="86"/>
      <c r="G67" s="86"/>
      <c r="H67" s="86"/>
      <c r="I67" s="81">
        <f t="shared" si="140"/>
        <v>0</v>
      </c>
      <c r="J67" s="81">
        <f t="shared" si="140"/>
        <v>0</v>
      </c>
      <c r="K67" s="81">
        <f t="shared" si="140"/>
        <v>0</v>
      </c>
      <c r="L67" s="86"/>
      <c r="M67" s="86"/>
      <c r="N67" s="86"/>
      <c r="O67" s="86"/>
      <c r="P67" s="86"/>
      <c r="Q67" s="86"/>
      <c r="R67" s="87">
        <f t="shared" si="141"/>
        <v>0</v>
      </c>
      <c r="S67" s="87">
        <f t="shared" si="141"/>
        <v>0</v>
      </c>
      <c r="T67" s="87">
        <f t="shared" si="141"/>
        <v>0</v>
      </c>
      <c r="U67" s="86"/>
      <c r="V67" s="86"/>
      <c r="W67" s="86"/>
      <c r="X67" s="86"/>
      <c r="Y67" s="86"/>
      <c r="Z67" s="86"/>
      <c r="AA67" s="91">
        <f t="shared" si="142"/>
        <v>0</v>
      </c>
      <c r="AB67" s="91">
        <f t="shared" si="142"/>
        <v>0</v>
      </c>
      <c r="AC67" s="91">
        <f t="shared" si="142"/>
        <v>0</v>
      </c>
      <c r="AD67" s="86"/>
      <c r="AE67" s="86"/>
      <c r="AF67" s="86"/>
      <c r="AG67" s="86"/>
      <c r="AH67" s="86"/>
      <c r="AI67" s="86"/>
      <c r="AJ67" s="86"/>
      <c r="AK67" s="86"/>
      <c r="AL67" s="86"/>
      <c r="AM67" s="92">
        <f t="shared" si="143"/>
        <v>0</v>
      </c>
      <c r="AN67" s="92">
        <f t="shared" si="143"/>
        <v>0</v>
      </c>
      <c r="AO67" s="92">
        <f t="shared" si="143"/>
        <v>0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92">
        <f t="shared" si="144"/>
        <v>0</v>
      </c>
      <c r="BX67" s="92">
        <f t="shared" si="144"/>
        <v>0</v>
      </c>
      <c r="BY67" s="92">
        <f t="shared" si="144"/>
        <v>0</v>
      </c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3">
        <f t="shared" si="145"/>
        <v>0</v>
      </c>
      <c r="CS67" s="83">
        <f t="shared" si="145"/>
        <v>0</v>
      </c>
      <c r="CT67" s="83">
        <f t="shared" si="145"/>
        <v>0</v>
      </c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3">
        <f t="shared" si="146"/>
        <v>0</v>
      </c>
      <c r="DK67" s="83">
        <f t="shared" si="146"/>
        <v>0</v>
      </c>
      <c r="DL67" s="83">
        <f t="shared" si="146"/>
        <v>0</v>
      </c>
      <c r="DM67" s="86"/>
      <c r="DN67" s="86"/>
      <c r="DO67" s="86"/>
      <c r="DP67" s="86"/>
      <c r="DQ67" s="86"/>
      <c r="DR67" s="86"/>
      <c r="DS67" s="81">
        <f>SUM(CU67,CX67,DA67,DD67,DG67,DJ67)</f>
        <v>0</v>
      </c>
      <c r="DT67" s="81">
        <f>SUM(CV67,CY67,DB67,DE67,DH67,DK67)</f>
        <v>0</v>
      </c>
      <c r="DU67" s="81">
        <f>SUM(CW67,CZ67,DC67,DF67,DI67,DL67)</f>
        <v>0</v>
      </c>
      <c r="DV67" s="86"/>
      <c r="DW67" s="86"/>
      <c r="DX67" s="86"/>
      <c r="DY67" s="83">
        <v>835611</v>
      </c>
      <c r="DZ67" s="86">
        <f>835611-40000</f>
        <v>795611</v>
      </c>
      <c r="EA67" s="86">
        <f>4119771-10060-3691-550000-60000-96500-40000</f>
        <v>3359520</v>
      </c>
      <c r="EB67" s="83">
        <f t="shared" si="148"/>
        <v>835611</v>
      </c>
      <c r="EC67" s="83">
        <f t="shared" si="148"/>
        <v>795611</v>
      </c>
      <c r="ED67" s="83">
        <f t="shared" si="148"/>
        <v>3359520</v>
      </c>
      <c r="EE67" s="92">
        <f t="shared" si="149"/>
        <v>835611</v>
      </c>
      <c r="EF67" s="92">
        <f t="shared" si="149"/>
        <v>795611</v>
      </c>
      <c r="EG67" s="92">
        <f t="shared" si="149"/>
        <v>3359520</v>
      </c>
      <c r="EH67" s="107" t="s">
        <v>168</v>
      </c>
      <c r="ER67" s="59"/>
    </row>
    <row r="68" spans="1:148" s="32" customFormat="1" ht="16.5" customHeight="1">
      <c r="A68" s="67" t="s">
        <v>169</v>
      </c>
      <c r="B68" s="67"/>
      <c r="C68" s="108">
        <f t="shared" ref="C68:AX68" si="150">SUM(C8,C11,C17,C22,C39,C42,C45:C46,C49,C52:C55,C63,C66:C67)</f>
        <v>2167719</v>
      </c>
      <c r="D68" s="108">
        <f t="shared" si="150"/>
        <v>2173919</v>
      </c>
      <c r="E68" s="108">
        <f t="shared" si="150"/>
        <v>2425283</v>
      </c>
      <c r="F68" s="108">
        <f t="shared" si="150"/>
        <v>963796</v>
      </c>
      <c r="G68" s="108">
        <f t="shared" si="150"/>
        <v>963796</v>
      </c>
      <c r="H68" s="108">
        <f t="shared" si="150"/>
        <v>1040485</v>
      </c>
      <c r="I68" s="108">
        <f t="shared" si="150"/>
        <v>3131515</v>
      </c>
      <c r="J68" s="108">
        <f t="shared" si="150"/>
        <v>3137715</v>
      </c>
      <c r="K68" s="108">
        <f t="shared" si="150"/>
        <v>3465768</v>
      </c>
      <c r="L68" s="108">
        <f t="shared" si="150"/>
        <v>5809895</v>
      </c>
      <c r="M68" s="108">
        <f t="shared" si="150"/>
        <v>9518937</v>
      </c>
      <c r="N68" s="108">
        <f t="shared" si="150"/>
        <v>4398012</v>
      </c>
      <c r="O68" s="108">
        <f t="shared" si="150"/>
        <v>38410</v>
      </c>
      <c r="P68" s="108">
        <f t="shared" si="150"/>
        <v>38410</v>
      </c>
      <c r="Q68" s="108">
        <f t="shared" si="150"/>
        <v>0</v>
      </c>
      <c r="R68" s="108">
        <f t="shared" si="150"/>
        <v>5848305</v>
      </c>
      <c r="S68" s="108">
        <f t="shared" si="150"/>
        <v>9557347</v>
      </c>
      <c r="T68" s="108">
        <f t="shared" si="150"/>
        <v>4398012</v>
      </c>
      <c r="U68" s="108">
        <f t="shared" si="150"/>
        <v>4480</v>
      </c>
      <c r="V68" s="108">
        <f t="shared" si="150"/>
        <v>4480</v>
      </c>
      <c r="W68" s="108">
        <f t="shared" si="150"/>
        <v>4480</v>
      </c>
      <c r="X68" s="108">
        <f t="shared" si="150"/>
        <v>95163</v>
      </c>
      <c r="Y68" s="108">
        <f t="shared" si="150"/>
        <v>95163</v>
      </c>
      <c r="Z68" s="108">
        <f t="shared" si="150"/>
        <v>98100</v>
      </c>
      <c r="AA68" s="108">
        <f t="shared" si="150"/>
        <v>99643</v>
      </c>
      <c r="AB68" s="108">
        <f t="shared" si="150"/>
        <v>99643</v>
      </c>
      <c r="AC68" s="108">
        <f t="shared" si="150"/>
        <v>102580</v>
      </c>
      <c r="AD68" s="108">
        <f t="shared" si="150"/>
        <v>953473</v>
      </c>
      <c r="AE68" s="108">
        <f t="shared" si="150"/>
        <v>953473</v>
      </c>
      <c r="AF68" s="108">
        <f t="shared" si="150"/>
        <v>1096584</v>
      </c>
      <c r="AG68" s="108">
        <f t="shared" si="150"/>
        <v>37000</v>
      </c>
      <c r="AH68" s="108">
        <f t="shared" si="150"/>
        <v>37000</v>
      </c>
      <c r="AI68" s="108">
        <f t="shared" si="150"/>
        <v>30000</v>
      </c>
      <c r="AJ68" s="108">
        <f t="shared" si="150"/>
        <v>16000</v>
      </c>
      <c r="AK68" s="108">
        <f t="shared" si="150"/>
        <v>16000</v>
      </c>
      <c r="AL68" s="108">
        <f t="shared" si="150"/>
        <v>17000</v>
      </c>
      <c r="AM68" s="108">
        <f t="shared" si="150"/>
        <v>1006473</v>
      </c>
      <c r="AN68" s="108">
        <f t="shared" si="150"/>
        <v>1006473</v>
      </c>
      <c r="AO68" s="108">
        <f t="shared" si="150"/>
        <v>1143584</v>
      </c>
      <c r="AP68" s="108">
        <f t="shared" si="150"/>
        <v>1008119</v>
      </c>
      <c r="AQ68" s="108">
        <f t="shared" si="150"/>
        <v>1560761</v>
      </c>
      <c r="AR68" s="108">
        <f t="shared" si="150"/>
        <v>1016142</v>
      </c>
      <c r="AS68" s="108">
        <f t="shared" si="150"/>
        <v>1152000</v>
      </c>
      <c r="AT68" s="108">
        <f t="shared" si="150"/>
        <v>1152000</v>
      </c>
      <c r="AU68" s="108">
        <f t="shared" si="150"/>
        <v>1300000</v>
      </c>
      <c r="AV68" s="108">
        <f t="shared" si="150"/>
        <v>5226647</v>
      </c>
      <c r="AW68" s="108">
        <f t="shared" si="150"/>
        <v>6057564</v>
      </c>
      <c r="AX68" s="108">
        <f t="shared" si="150"/>
        <v>6090172</v>
      </c>
      <c r="AY68" s="108">
        <f t="shared" ref="AY68:CT68" si="151">SUM(AY8,AY11,AY17,AY22,AY39,AY42,AY45:AY46,AY49,AY52:AY55,AY63,AY66:AY67)</f>
        <v>5812251</v>
      </c>
      <c r="AZ68" s="108">
        <f t="shared" si="151"/>
        <v>5834746</v>
      </c>
      <c r="BA68" s="108">
        <f t="shared" si="151"/>
        <v>4824216</v>
      </c>
      <c r="BB68" s="108">
        <f t="shared" si="151"/>
        <v>300865</v>
      </c>
      <c r="BC68" s="108">
        <f t="shared" si="151"/>
        <v>285165</v>
      </c>
      <c r="BD68" s="108">
        <f t="shared" si="151"/>
        <v>296150</v>
      </c>
      <c r="BE68" s="108">
        <f t="shared" si="151"/>
        <v>780000</v>
      </c>
      <c r="BF68" s="108">
        <f t="shared" si="151"/>
        <v>840700</v>
      </c>
      <c r="BG68" s="108">
        <f t="shared" si="151"/>
        <v>855000</v>
      </c>
      <c r="BH68" s="108">
        <f t="shared" si="151"/>
        <v>3740504</v>
      </c>
      <c r="BI68" s="108">
        <f t="shared" si="151"/>
        <v>3740504</v>
      </c>
      <c r="BJ68" s="108">
        <f t="shared" si="151"/>
        <v>3504408</v>
      </c>
      <c r="BK68" s="108">
        <f t="shared" si="151"/>
        <v>14000</v>
      </c>
      <c r="BL68" s="108">
        <f t="shared" si="151"/>
        <v>14000</v>
      </c>
      <c r="BM68" s="108">
        <f t="shared" si="151"/>
        <v>15000</v>
      </c>
      <c r="BN68" s="108">
        <f t="shared" si="151"/>
        <v>23400</v>
      </c>
      <c r="BO68" s="108">
        <f t="shared" si="151"/>
        <v>23400</v>
      </c>
      <c r="BP68" s="108">
        <f t="shared" si="151"/>
        <v>27875</v>
      </c>
      <c r="BQ68" s="108">
        <f t="shared" si="151"/>
        <v>1000300</v>
      </c>
      <c r="BR68" s="108">
        <f t="shared" si="151"/>
        <v>1000300</v>
      </c>
      <c r="BS68" s="108">
        <f t="shared" si="151"/>
        <v>1105500</v>
      </c>
      <c r="BT68" s="108">
        <f t="shared" si="151"/>
        <v>-1853714</v>
      </c>
      <c r="BU68" s="108">
        <f t="shared" si="151"/>
        <v>-1179729</v>
      </c>
      <c r="BV68" s="108">
        <f t="shared" si="151"/>
        <v>-2059373</v>
      </c>
      <c r="BW68" s="108">
        <f t="shared" si="151"/>
        <v>17204372</v>
      </c>
      <c r="BX68" s="108">
        <f t="shared" si="151"/>
        <v>19329411</v>
      </c>
      <c r="BY68" s="108">
        <f t="shared" si="151"/>
        <v>16975090</v>
      </c>
      <c r="BZ68" s="108">
        <f t="shared" si="151"/>
        <v>989456</v>
      </c>
      <c r="CA68" s="108">
        <f t="shared" si="151"/>
        <v>989456</v>
      </c>
      <c r="CB68" s="108">
        <f t="shared" si="151"/>
        <v>724000</v>
      </c>
      <c r="CC68" s="108">
        <f t="shared" si="151"/>
        <v>598000</v>
      </c>
      <c r="CD68" s="108">
        <f t="shared" si="151"/>
        <v>598000</v>
      </c>
      <c r="CE68" s="108">
        <f t="shared" si="151"/>
        <v>616000</v>
      </c>
      <c r="CF68" s="108">
        <f t="shared" si="151"/>
        <v>481424</v>
      </c>
      <c r="CG68" s="108">
        <f t="shared" si="151"/>
        <v>481424</v>
      </c>
      <c r="CH68" s="108">
        <f t="shared" si="151"/>
        <v>491040</v>
      </c>
      <c r="CI68" s="108">
        <f t="shared" si="151"/>
        <v>20000</v>
      </c>
      <c r="CJ68" s="108">
        <f t="shared" si="151"/>
        <v>20000</v>
      </c>
      <c r="CK68" s="108">
        <f t="shared" si="151"/>
        <v>22100</v>
      </c>
      <c r="CL68" s="108">
        <f t="shared" si="151"/>
        <v>235000</v>
      </c>
      <c r="CM68" s="108">
        <f t="shared" si="151"/>
        <v>305000</v>
      </c>
      <c r="CN68" s="108">
        <f t="shared" si="151"/>
        <v>305200</v>
      </c>
      <c r="CO68" s="108">
        <f t="shared" si="151"/>
        <v>892015</v>
      </c>
      <c r="CP68" s="108">
        <f t="shared" si="151"/>
        <v>892015</v>
      </c>
      <c r="CQ68" s="108">
        <f t="shared" si="151"/>
        <v>894635</v>
      </c>
      <c r="CR68" s="108">
        <f t="shared" si="151"/>
        <v>3215895</v>
      </c>
      <c r="CS68" s="108">
        <f t="shared" si="151"/>
        <v>3285895</v>
      </c>
      <c r="CT68" s="108">
        <f t="shared" si="151"/>
        <v>3052975</v>
      </c>
      <c r="CU68" s="108">
        <f t="shared" ref="CU68:EA68" si="152">SUM(CU8,CU11,CU17,CU22,CU39,CU42,CU45:CU46,CU49,CU52:CU55,CU63,CU66:CU67)</f>
        <v>345600</v>
      </c>
      <c r="CV68" s="108">
        <f t="shared" si="152"/>
        <v>380580</v>
      </c>
      <c r="CW68" s="108">
        <f t="shared" si="152"/>
        <v>486500</v>
      </c>
      <c r="CX68" s="108">
        <f t="shared" si="152"/>
        <v>937765</v>
      </c>
      <c r="CY68" s="108">
        <f t="shared" si="152"/>
        <v>937765</v>
      </c>
      <c r="CZ68" s="108">
        <f t="shared" si="152"/>
        <v>913820</v>
      </c>
      <c r="DA68" s="108">
        <f t="shared" si="152"/>
        <v>94000</v>
      </c>
      <c r="DB68" s="108">
        <f t="shared" si="152"/>
        <v>94000</v>
      </c>
      <c r="DC68" s="108">
        <f t="shared" si="152"/>
        <v>100000</v>
      </c>
      <c r="DD68" s="108">
        <f t="shared" si="152"/>
        <v>365850</v>
      </c>
      <c r="DE68" s="108">
        <f t="shared" si="152"/>
        <v>365850</v>
      </c>
      <c r="DF68" s="108">
        <f t="shared" si="152"/>
        <v>433500</v>
      </c>
      <c r="DG68" s="108">
        <f t="shared" si="152"/>
        <v>588600</v>
      </c>
      <c r="DH68" s="108">
        <f t="shared" si="152"/>
        <v>588600</v>
      </c>
      <c r="DI68" s="108">
        <f t="shared" si="152"/>
        <v>641500</v>
      </c>
      <c r="DJ68" s="108">
        <f t="shared" si="152"/>
        <v>2191514</v>
      </c>
      <c r="DK68" s="108">
        <f t="shared" si="152"/>
        <v>2076514</v>
      </c>
      <c r="DL68" s="108">
        <f t="shared" si="152"/>
        <v>2780758</v>
      </c>
      <c r="DM68" s="108">
        <f t="shared" si="152"/>
        <v>1793834</v>
      </c>
      <c r="DN68" s="108">
        <f t="shared" si="152"/>
        <v>1678834</v>
      </c>
      <c r="DO68" s="108">
        <f t="shared" si="152"/>
        <v>2314770</v>
      </c>
      <c r="DP68" s="108">
        <f t="shared" si="152"/>
        <v>397680</v>
      </c>
      <c r="DQ68" s="108">
        <f t="shared" si="152"/>
        <v>397680</v>
      </c>
      <c r="DR68" s="108">
        <f t="shared" si="152"/>
        <v>465988</v>
      </c>
      <c r="DS68" s="108">
        <f t="shared" si="152"/>
        <v>4523329</v>
      </c>
      <c r="DT68" s="108">
        <f t="shared" si="152"/>
        <v>4443309</v>
      </c>
      <c r="DU68" s="108">
        <f t="shared" si="152"/>
        <v>5356078</v>
      </c>
      <c r="DV68" s="108">
        <f t="shared" si="152"/>
        <v>285000</v>
      </c>
      <c r="DW68" s="108">
        <f t="shared" si="152"/>
        <v>285000</v>
      </c>
      <c r="DX68" s="108">
        <f t="shared" si="152"/>
        <v>574700</v>
      </c>
      <c r="DY68" s="108">
        <f t="shared" si="152"/>
        <v>835611</v>
      </c>
      <c r="DZ68" s="108">
        <f t="shared" si="152"/>
        <v>795611</v>
      </c>
      <c r="EA68" s="108">
        <f t="shared" si="152"/>
        <v>3359520</v>
      </c>
      <c r="EB68" s="83">
        <f t="shared" si="148"/>
        <v>1120611</v>
      </c>
      <c r="EC68" s="83">
        <f t="shared" si="148"/>
        <v>1080611</v>
      </c>
      <c r="ED68" s="83">
        <f t="shared" si="148"/>
        <v>3934220</v>
      </c>
      <c r="EE68" s="108">
        <f>SUM(EE8,EE11,EE17,EE22,EE39,EE42,EE45:EE46,EE49,EE52:EE55,EE63,EE66:EE67)</f>
        <v>36150143</v>
      </c>
      <c r="EF68" s="108">
        <f>SUM(EF8,EF11,EF17,EF22,EF39,EF42,EF45:EF46,EF49,EF52:EF55,EF63,EF66:EF67)</f>
        <v>41940404</v>
      </c>
      <c r="EG68" s="108">
        <f>SUM(EG8,EG11,EG17,EG22,EG39,EG42,EG45:EG46,EG49,EG52:EG55,EG63,EG66:EG67)</f>
        <v>38428307</v>
      </c>
      <c r="EH68" s="109"/>
      <c r="ER68" s="59"/>
    </row>
    <row r="70" spans="1:148">
      <c r="DO70" s="2"/>
      <c r="EA70" s="61"/>
    </row>
    <row r="71" spans="1:148">
      <c r="DO71" s="2"/>
    </row>
    <row r="72" spans="1:148">
      <c r="DO72" s="2"/>
    </row>
    <row r="73" spans="1:148">
      <c r="EG73" s="61">
        <f>+EG72-EG71</f>
        <v>0</v>
      </c>
    </row>
    <row r="75" spans="1:148">
      <c r="EG75" s="61"/>
    </row>
    <row r="77" spans="1:148" s="77" customFormat="1">
      <c r="E77" s="78"/>
      <c r="H77" s="78"/>
      <c r="K77" s="78"/>
      <c r="W77" s="78"/>
      <c r="Z77" s="78"/>
      <c r="AC77" s="78"/>
      <c r="AR77" s="78"/>
      <c r="AU77" s="78"/>
      <c r="AX77" s="78"/>
      <c r="BA77" s="78"/>
      <c r="BD77" s="78"/>
      <c r="BG77" s="78"/>
      <c r="BV77" s="78"/>
      <c r="BY77" s="78"/>
      <c r="CQ77" s="78"/>
      <c r="CT77" s="78"/>
      <c r="CW77" s="78"/>
      <c r="CZ77" s="78"/>
      <c r="DF77" s="78"/>
      <c r="DI77" s="78"/>
      <c r="DL77" s="78"/>
      <c r="DO77" s="78"/>
      <c r="DR77" s="78"/>
      <c r="ER77" s="79"/>
    </row>
    <row r="78" spans="1:148" s="77" customFormat="1">
      <c r="E78" s="78"/>
      <c r="H78" s="78"/>
      <c r="K78" s="78"/>
      <c r="W78" s="78"/>
      <c r="Z78" s="78"/>
      <c r="AC78" s="78"/>
      <c r="AR78" s="78"/>
      <c r="AU78" s="78"/>
      <c r="AX78" s="78"/>
      <c r="BA78" s="78"/>
      <c r="BD78" s="78"/>
      <c r="BG78" s="78"/>
      <c r="BV78" s="78"/>
      <c r="BY78" s="78"/>
      <c r="CQ78" s="78"/>
      <c r="CT78" s="78"/>
      <c r="CW78" s="78"/>
      <c r="CZ78" s="78"/>
      <c r="DF78" s="78"/>
      <c r="DI78" s="78"/>
      <c r="DL78" s="78"/>
      <c r="DO78" s="78"/>
      <c r="DR78" s="78"/>
      <c r="ER78" s="79"/>
    </row>
    <row r="79" spans="1:148" s="77" customFormat="1">
      <c r="E79" s="78"/>
      <c r="H79" s="78"/>
      <c r="K79" s="78"/>
      <c r="W79" s="78"/>
      <c r="Z79" s="78"/>
      <c r="AC79" s="78"/>
      <c r="AR79" s="78"/>
      <c r="AU79" s="78"/>
      <c r="AX79" s="78"/>
      <c r="BA79" s="78"/>
      <c r="BD79" s="78"/>
      <c r="BG79" s="78"/>
      <c r="BV79" s="78"/>
      <c r="BY79" s="78"/>
      <c r="CQ79" s="78"/>
      <c r="CT79" s="78"/>
      <c r="CW79" s="78"/>
      <c r="CZ79" s="78"/>
      <c r="DF79" s="78"/>
      <c r="DI79" s="78"/>
      <c r="DL79" s="78"/>
      <c r="DO79" s="78"/>
      <c r="DR79" s="78"/>
      <c r="ER79" s="79"/>
    </row>
    <row r="80" spans="1:148" s="77" customFormat="1">
      <c r="E80" s="78"/>
      <c r="H80" s="78"/>
      <c r="K80" s="78"/>
      <c r="W80" s="78"/>
      <c r="Z80" s="78"/>
      <c r="AC80" s="78"/>
      <c r="AR80" s="78"/>
      <c r="AU80" s="78"/>
      <c r="AX80" s="78"/>
      <c r="BA80" s="78"/>
      <c r="BD80" s="78"/>
      <c r="BG80" s="78"/>
      <c r="BV80" s="78"/>
      <c r="BY80" s="78"/>
      <c r="CQ80" s="78"/>
      <c r="CT80" s="78"/>
      <c r="CW80" s="78"/>
      <c r="CZ80" s="78"/>
      <c r="DF80" s="78"/>
      <c r="DI80" s="78"/>
      <c r="DL80" s="78"/>
      <c r="DO80" s="78"/>
      <c r="DR80" s="78"/>
      <c r="ER80" s="79"/>
    </row>
    <row r="81" spans="5:148" s="77" customFormat="1">
      <c r="E81" s="78"/>
      <c r="H81" s="78"/>
      <c r="K81" s="78"/>
      <c r="W81" s="78"/>
      <c r="Z81" s="78"/>
      <c r="AC81" s="78"/>
      <c r="AR81" s="78"/>
      <c r="AU81" s="78"/>
      <c r="AX81" s="78"/>
      <c r="BA81" s="78"/>
      <c r="BD81" s="78"/>
      <c r="BG81" s="78"/>
      <c r="BV81" s="78"/>
      <c r="BY81" s="78"/>
      <c r="CQ81" s="78"/>
      <c r="CT81" s="78"/>
      <c r="CW81" s="78"/>
      <c r="CZ81" s="78"/>
      <c r="DF81" s="78"/>
      <c r="DI81" s="78"/>
      <c r="DL81" s="78"/>
      <c r="DO81" s="78"/>
      <c r="DR81" s="78"/>
      <c r="ER81" s="79"/>
    </row>
  </sheetData>
  <mergeCells count="20">
    <mergeCell ref="AV6:AX6"/>
    <mergeCell ref="BW6:BY6"/>
    <mergeCell ref="AM5:AO5"/>
    <mergeCell ref="AS5:BV5"/>
    <mergeCell ref="BW5:BY5"/>
    <mergeCell ref="R6:T6"/>
    <mergeCell ref="AA6:AC6"/>
    <mergeCell ref="AM6:AO6"/>
    <mergeCell ref="AP6:AR6"/>
    <mergeCell ref="AS6:AU6"/>
    <mergeCell ref="BZ6:CB6"/>
    <mergeCell ref="CR6:CT6"/>
    <mergeCell ref="DS6:DU6"/>
    <mergeCell ref="EB6:ED6"/>
    <mergeCell ref="DS5:DU5"/>
    <mergeCell ref="DV5:EA5"/>
    <mergeCell ref="EB5:ED5"/>
    <mergeCell ref="BZ5:CQ5"/>
    <mergeCell ref="CR5:CT5"/>
    <mergeCell ref="CU5:DR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13"/>
  <sheetViews>
    <sheetView workbookViewId="0">
      <selection activeCell="B3" sqref="B3:B4"/>
    </sheetView>
  </sheetViews>
  <sheetFormatPr defaultRowHeight="18"/>
  <cols>
    <col min="1" max="1" width="7.7109375" style="293" customWidth="1"/>
    <col min="2" max="2" width="83.42578125" style="294" customWidth="1"/>
    <col min="3" max="3" width="18.28515625" style="254" customWidth="1"/>
    <col min="4" max="4" width="15.28515625" style="253" customWidth="1"/>
    <col min="5" max="5" width="22.42578125" style="254" customWidth="1"/>
    <col min="6" max="8" width="9.140625" style="254"/>
    <col min="9" max="9" width="24.140625" style="254" customWidth="1"/>
    <col min="10" max="203" width="9.140625" style="254"/>
    <col min="204" max="204" width="4" style="254" customWidth="1"/>
    <col min="205" max="205" width="5.42578125" style="254" customWidth="1"/>
    <col min="206" max="206" width="49.42578125" style="254" customWidth="1"/>
    <col min="207" max="207" width="5" style="254" bestFit="1" customWidth="1"/>
    <col min="208" max="208" width="5.42578125" style="254" customWidth="1"/>
    <col min="209" max="209" width="3.7109375" style="254" bestFit="1" customWidth="1"/>
    <col min="210" max="210" width="9.140625" style="254" customWidth="1"/>
    <col min="211" max="211" width="11.28515625" style="254" bestFit="1" customWidth="1"/>
    <col min="212" max="212" width="10.28515625" style="254" customWidth="1"/>
    <col min="213" max="213" width="11.28515625" style="254" bestFit="1" customWidth="1"/>
    <col min="214" max="214" width="10.85546875" style="254" customWidth="1"/>
    <col min="215" max="215" width="11.7109375" style="254" customWidth="1"/>
    <col min="216" max="216" width="12.28515625" style="254" customWidth="1"/>
    <col min="217" max="220" width="10.140625" style="254" bestFit="1" customWidth="1"/>
    <col min="221" max="221" width="10.42578125" style="254" customWidth="1"/>
    <col min="222" max="222" width="9.85546875" style="254" customWidth="1"/>
    <col min="223" max="223" width="11" style="254" bestFit="1" customWidth="1"/>
    <col min="224" max="224" width="10.5703125" style="254" customWidth="1"/>
    <col min="225" max="225" width="11" style="254" bestFit="1" customWidth="1"/>
    <col min="226" max="226" width="9.28515625" style="254" bestFit="1" customWidth="1"/>
    <col min="227" max="227" width="9" style="254" customWidth="1"/>
    <col min="228" max="228" width="9.28515625" style="254" bestFit="1" customWidth="1"/>
    <col min="229" max="231" width="10.140625" style="254" bestFit="1" customWidth="1"/>
    <col min="232" max="232" width="11.28515625" style="254" bestFit="1" customWidth="1"/>
    <col min="233" max="233" width="10.85546875" style="254" customWidth="1"/>
    <col min="234" max="234" width="11.28515625" style="254" bestFit="1" customWidth="1"/>
    <col min="235" max="235" width="10.140625" style="254" bestFit="1" customWidth="1"/>
    <col min="236" max="236" width="7" style="254" customWidth="1"/>
    <col min="237" max="237" width="10.85546875" style="254" customWidth="1"/>
    <col min="238" max="238" width="11.7109375" style="254" customWidth="1"/>
    <col min="239" max="239" width="10.140625" style="254" customWidth="1"/>
    <col min="240" max="240" width="11" style="254" customWidth="1"/>
    <col min="241" max="241" width="2.5703125" style="254" customWidth="1"/>
    <col min="242" max="242" width="11.140625" style="254" customWidth="1"/>
    <col min="243" max="243" width="9.85546875" style="254" customWidth="1"/>
    <col min="244" max="244" width="13.42578125" style="254" customWidth="1"/>
    <col min="245" max="245" width="9.140625" style="254"/>
    <col min="246" max="246" width="16.85546875" style="254" customWidth="1"/>
    <col min="247" max="459" width="9.140625" style="254"/>
    <col min="460" max="460" width="4" style="254" customWidth="1"/>
    <col min="461" max="461" width="5.42578125" style="254" customWidth="1"/>
    <col min="462" max="462" width="49.42578125" style="254" customWidth="1"/>
    <col min="463" max="463" width="5" style="254" bestFit="1" customWidth="1"/>
    <col min="464" max="464" width="5.42578125" style="254" customWidth="1"/>
    <col min="465" max="465" width="3.7109375" style="254" bestFit="1" customWidth="1"/>
    <col min="466" max="466" width="9.140625" style="254" customWidth="1"/>
    <col min="467" max="467" width="11.28515625" style="254" bestFit="1" customWidth="1"/>
    <col min="468" max="468" width="10.28515625" style="254" customWidth="1"/>
    <col min="469" max="469" width="11.28515625" style="254" bestFit="1" customWidth="1"/>
    <col min="470" max="470" width="10.85546875" style="254" customWidth="1"/>
    <col min="471" max="471" width="11.7109375" style="254" customWidth="1"/>
    <col min="472" max="472" width="12.28515625" style="254" customWidth="1"/>
    <col min="473" max="476" width="10.140625" style="254" bestFit="1" customWidth="1"/>
    <col min="477" max="477" width="10.42578125" style="254" customWidth="1"/>
    <col min="478" max="478" width="9.85546875" style="254" customWidth="1"/>
    <col min="479" max="479" width="11" style="254" bestFit="1" customWidth="1"/>
    <col min="480" max="480" width="10.5703125" style="254" customWidth="1"/>
    <col min="481" max="481" width="11" style="254" bestFit="1" customWidth="1"/>
    <col min="482" max="482" width="9.28515625" style="254" bestFit="1" customWidth="1"/>
    <col min="483" max="483" width="9" style="254" customWidth="1"/>
    <col min="484" max="484" width="9.28515625" style="254" bestFit="1" customWidth="1"/>
    <col min="485" max="487" width="10.140625" style="254" bestFit="1" customWidth="1"/>
    <col min="488" max="488" width="11.28515625" style="254" bestFit="1" customWidth="1"/>
    <col min="489" max="489" width="10.85546875" style="254" customWidth="1"/>
    <col min="490" max="490" width="11.28515625" style="254" bestFit="1" customWidth="1"/>
    <col min="491" max="491" width="10.140625" style="254" bestFit="1" customWidth="1"/>
    <col min="492" max="492" width="7" style="254" customWidth="1"/>
    <col min="493" max="493" width="10.85546875" style="254" customWidth="1"/>
    <col min="494" max="494" width="11.7109375" style="254" customWidth="1"/>
    <col min="495" max="495" width="10.140625" style="254" customWidth="1"/>
    <col min="496" max="496" width="11" style="254" customWidth="1"/>
    <col min="497" max="497" width="2.5703125" style="254" customWidth="1"/>
    <col min="498" max="498" width="11.140625" style="254" customWidth="1"/>
    <col min="499" max="499" width="9.85546875" style="254" customWidth="1"/>
    <col min="500" max="500" width="13.42578125" style="254" customWidth="1"/>
    <col min="501" max="501" width="9.140625" style="254"/>
    <col min="502" max="502" width="16.85546875" style="254" customWidth="1"/>
    <col min="503" max="715" width="9.140625" style="254"/>
    <col min="716" max="716" width="4" style="254" customWidth="1"/>
    <col min="717" max="717" width="5.42578125" style="254" customWidth="1"/>
    <col min="718" max="718" width="49.42578125" style="254" customWidth="1"/>
    <col min="719" max="719" width="5" style="254" bestFit="1" customWidth="1"/>
    <col min="720" max="720" width="5.42578125" style="254" customWidth="1"/>
    <col min="721" max="721" width="3.7109375" style="254" bestFit="1" customWidth="1"/>
    <col min="722" max="722" width="9.140625" style="254" customWidth="1"/>
    <col min="723" max="723" width="11.28515625" style="254" bestFit="1" customWidth="1"/>
    <col min="724" max="724" width="10.28515625" style="254" customWidth="1"/>
    <col min="725" max="725" width="11.28515625" style="254" bestFit="1" customWidth="1"/>
    <col min="726" max="726" width="10.85546875" style="254" customWidth="1"/>
    <col min="727" max="727" width="11.7109375" style="254" customWidth="1"/>
    <col min="728" max="728" width="12.28515625" style="254" customWidth="1"/>
    <col min="729" max="732" width="10.140625" style="254" bestFit="1" customWidth="1"/>
    <col min="733" max="733" width="10.42578125" style="254" customWidth="1"/>
    <col min="734" max="734" width="9.85546875" style="254" customWidth="1"/>
    <col min="735" max="735" width="11" style="254" bestFit="1" customWidth="1"/>
    <col min="736" max="736" width="10.5703125" style="254" customWidth="1"/>
    <col min="737" max="737" width="11" style="254" bestFit="1" customWidth="1"/>
    <col min="738" max="738" width="9.28515625" style="254" bestFit="1" customWidth="1"/>
    <col min="739" max="739" width="9" style="254" customWidth="1"/>
    <col min="740" max="740" width="9.28515625" style="254" bestFit="1" customWidth="1"/>
    <col min="741" max="743" width="10.140625" style="254" bestFit="1" customWidth="1"/>
    <col min="744" max="744" width="11.28515625" style="254" bestFit="1" customWidth="1"/>
    <col min="745" max="745" width="10.85546875" style="254" customWidth="1"/>
    <col min="746" max="746" width="11.28515625" style="254" bestFit="1" customWidth="1"/>
    <col min="747" max="747" width="10.140625" style="254" bestFit="1" customWidth="1"/>
    <col min="748" max="748" width="7" style="254" customWidth="1"/>
    <col min="749" max="749" width="10.85546875" style="254" customWidth="1"/>
    <col min="750" max="750" width="11.7109375" style="254" customWidth="1"/>
    <col min="751" max="751" width="10.140625" style="254" customWidth="1"/>
    <col min="752" max="752" width="11" style="254" customWidth="1"/>
    <col min="753" max="753" width="2.5703125" style="254" customWidth="1"/>
    <col min="754" max="754" width="11.140625" style="254" customWidth="1"/>
    <col min="755" max="755" width="9.85546875" style="254" customWidth="1"/>
    <col min="756" max="756" width="13.42578125" style="254" customWidth="1"/>
    <col min="757" max="757" width="9.140625" style="254"/>
    <col min="758" max="758" width="16.85546875" style="254" customWidth="1"/>
    <col min="759" max="971" width="9.140625" style="254"/>
    <col min="972" max="972" width="4" style="254" customWidth="1"/>
    <col min="973" max="973" width="5.42578125" style="254" customWidth="1"/>
    <col min="974" max="974" width="49.42578125" style="254" customWidth="1"/>
    <col min="975" max="975" width="5" style="254" bestFit="1" customWidth="1"/>
    <col min="976" max="976" width="5.42578125" style="254" customWidth="1"/>
    <col min="977" max="977" width="3.7109375" style="254" bestFit="1" customWidth="1"/>
    <col min="978" max="978" width="9.140625" style="254" customWidth="1"/>
    <col min="979" max="979" width="11.28515625" style="254" bestFit="1" customWidth="1"/>
    <col min="980" max="980" width="10.28515625" style="254" customWidth="1"/>
    <col min="981" max="981" width="11.28515625" style="254" bestFit="1" customWidth="1"/>
    <col min="982" max="982" width="10.85546875" style="254" customWidth="1"/>
    <col min="983" max="983" width="11.7109375" style="254" customWidth="1"/>
    <col min="984" max="984" width="12.28515625" style="254" customWidth="1"/>
    <col min="985" max="988" width="10.140625" style="254" bestFit="1" customWidth="1"/>
    <col min="989" max="989" width="10.42578125" style="254" customWidth="1"/>
    <col min="990" max="990" width="9.85546875" style="254" customWidth="1"/>
    <col min="991" max="991" width="11" style="254" bestFit="1" customWidth="1"/>
    <col min="992" max="992" width="10.5703125" style="254" customWidth="1"/>
    <col min="993" max="993" width="11" style="254" bestFit="1" customWidth="1"/>
    <col min="994" max="994" width="9.28515625" style="254" bestFit="1" customWidth="1"/>
    <col min="995" max="995" width="9" style="254" customWidth="1"/>
    <col min="996" max="996" width="9.28515625" style="254" bestFit="1" customWidth="1"/>
    <col min="997" max="999" width="10.140625" style="254" bestFit="1" customWidth="1"/>
    <col min="1000" max="1000" width="11.28515625" style="254" bestFit="1" customWidth="1"/>
    <col min="1001" max="1001" width="10.85546875" style="254" customWidth="1"/>
    <col min="1002" max="1002" width="11.28515625" style="254" bestFit="1" customWidth="1"/>
    <col min="1003" max="1003" width="10.140625" style="254" bestFit="1" customWidth="1"/>
    <col min="1004" max="1004" width="7" style="254" customWidth="1"/>
    <col min="1005" max="1005" width="10.85546875" style="254" customWidth="1"/>
    <col min="1006" max="1006" width="11.7109375" style="254" customWidth="1"/>
    <col min="1007" max="1007" width="10.140625" style="254" customWidth="1"/>
    <col min="1008" max="1008" width="11" style="254" customWidth="1"/>
    <col min="1009" max="1009" width="2.5703125" style="254" customWidth="1"/>
    <col min="1010" max="1010" width="11.140625" style="254" customWidth="1"/>
    <col min="1011" max="1011" width="9.85546875" style="254" customWidth="1"/>
    <col min="1012" max="1012" width="13.42578125" style="254" customWidth="1"/>
    <col min="1013" max="1013" width="9.140625" style="254"/>
    <col min="1014" max="1014" width="16.85546875" style="254" customWidth="1"/>
    <col min="1015" max="1227" width="9.140625" style="254"/>
    <col min="1228" max="1228" width="4" style="254" customWidth="1"/>
    <col min="1229" max="1229" width="5.42578125" style="254" customWidth="1"/>
    <col min="1230" max="1230" width="49.42578125" style="254" customWidth="1"/>
    <col min="1231" max="1231" width="5" style="254" bestFit="1" customWidth="1"/>
    <col min="1232" max="1232" width="5.42578125" style="254" customWidth="1"/>
    <col min="1233" max="1233" width="3.7109375" style="254" bestFit="1" customWidth="1"/>
    <col min="1234" max="1234" width="9.140625" style="254" customWidth="1"/>
    <col min="1235" max="1235" width="11.28515625" style="254" bestFit="1" customWidth="1"/>
    <col min="1236" max="1236" width="10.28515625" style="254" customWidth="1"/>
    <col min="1237" max="1237" width="11.28515625" style="254" bestFit="1" customWidth="1"/>
    <col min="1238" max="1238" width="10.85546875" style="254" customWidth="1"/>
    <col min="1239" max="1239" width="11.7109375" style="254" customWidth="1"/>
    <col min="1240" max="1240" width="12.28515625" style="254" customWidth="1"/>
    <col min="1241" max="1244" width="10.140625" style="254" bestFit="1" customWidth="1"/>
    <col min="1245" max="1245" width="10.42578125" style="254" customWidth="1"/>
    <col min="1246" max="1246" width="9.85546875" style="254" customWidth="1"/>
    <col min="1247" max="1247" width="11" style="254" bestFit="1" customWidth="1"/>
    <col min="1248" max="1248" width="10.5703125" style="254" customWidth="1"/>
    <col min="1249" max="1249" width="11" style="254" bestFit="1" customWidth="1"/>
    <col min="1250" max="1250" width="9.28515625" style="254" bestFit="1" customWidth="1"/>
    <col min="1251" max="1251" width="9" style="254" customWidth="1"/>
    <col min="1252" max="1252" width="9.28515625" style="254" bestFit="1" customWidth="1"/>
    <col min="1253" max="1255" width="10.140625" style="254" bestFit="1" customWidth="1"/>
    <col min="1256" max="1256" width="11.28515625" style="254" bestFit="1" customWidth="1"/>
    <col min="1257" max="1257" width="10.85546875" style="254" customWidth="1"/>
    <col min="1258" max="1258" width="11.28515625" style="254" bestFit="1" customWidth="1"/>
    <col min="1259" max="1259" width="10.140625" style="254" bestFit="1" customWidth="1"/>
    <col min="1260" max="1260" width="7" style="254" customWidth="1"/>
    <col min="1261" max="1261" width="10.85546875" style="254" customWidth="1"/>
    <col min="1262" max="1262" width="11.7109375" style="254" customWidth="1"/>
    <col min="1263" max="1263" width="10.140625" style="254" customWidth="1"/>
    <col min="1264" max="1264" width="11" style="254" customWidth="1"/>
    <col min="1265" max="1265" width="2.5703125" style="254" customWidth="1"/>
    <col min="1266" max="1266" width="11.140625" style="254" customWidth="1"/>
    <col min="1267" max="1267" width="9.85546875" style="254" customWidth="1"/>
    <col min="1268" max="1268" width="13.42578125" style="254" customWidth="1"/>
    <col min="1269" max="1269" width="9.140625" style="254"/>
    <col min="1270" max="1270" width="16.85546875" style="254" customWidth="1"/>
    <col min="1271" max="1483" width="9.140625" style="254"/>
    <col min="1484" max="1484" width="4" style="254" customWidth="1"/>
    <col min="1485" max="1485" width="5.42578125" style="254" customWidth="1"/>
    <col min="1486" max="1486" width="49.42578125" style="254" customWidth="1"/>
    <col min="1487" max="1487" width="5" style="254" bestFit="1" customWidth="1"/>
    <col min="1488" max="1488" width="5.42578125" style="254" customWidth="1"/>
    <col min="1489" max="1489" width="3.7109375" style="254" bestFit="1" customWidth="1"/>
    <col min="1490" max="1490" width="9.140625" style="254" customWidth="1"/>
    <col min="1491" max="1491" width="11.28515625" style="254" bestFit="1" customWidth="1"/>
    <col min="1492" max="1492" width="10.28515625" style="254" customWidth="1"/>
    <col min="1493" max="1493" width="11.28515625" style="254" bestFit="1" customWidth="1"/>
    <col min="1494" max="1494" width="10.85546875" style="254" customWidth="1"/>
    <col min="1495" max="1495" width="11.7109375" style="254" customWidth="1"/>
    <col min="1496" max="1496" width="12.28515625" style="254" customWidth="1"/>
    <col min="1497" max="1500" width="10.140625" style="254" bestFit="1" customWidth="1"/>
    <col min="1501" max="1501" width="10.42578125" style="254" customWidth="1"/>
    <col min="1502" max="1502" width="9.85546875" style="254" customWidth="1"/>
    <col min="1503" max="1503" width="11" style="254" bestFit="1" customWidth="1"/>
    <col min="1504" max="1504" width="10.5703125" style="254" customWidth="1"/>
    <col min="1505" max="1505" width="11" style="254" bestFit="1" customWidth="1"/>
    <col min="1506" max="1506" width="9.28515625" style="254" bestFit="1" customWidth="1"/>
    <col min="1507" max="1507" width="9" style="254" customWidth="1"/>
    <col min="1508" max="1508" width="9.28515625" style="254" bestFit="1" customWidth="1"/>
    <col min="1509" max="1511" width="10.140625" style="254" bestFit="1" customWidth="1"/>
    <col min="1512" max="1512" width="11.28515625" style="254" bestFit="1" customWidth="1"/>
    <col min="1513" max="1513" width="10.85546875" style="254" customWidth="1"/>
    <col min="1514" max="1514" width="11.28515625" style="254" bestFit="1" customWidth="1"/>
    <col min="1515" max="1515" width="10.140625" style="254" bestFit="1" customWidth="1"/>
    <col min="1516" max="1516" width="7" style="254" customWidth="1"/>
    <col min="1517" max="1517" width="10.85546875" style="254" customWidth="1"/>
    <col min="1518" max="1518" width="11.7109375" style="254" customWidth="1"/>
    <col min="1519" max="1519" width="10.140625" style="254" customWidth="1"/>
    <col min="1520" max="1520" width="11" style="254" customWidth="1"/>
    <col min="1521" max="1521" width="2.5703125" style="254" customWidth="1"/>
    <col min="1522" max="1522" width="11.140625" style="254" customWidth="1"/>
    <col min="1523" max="1523" width="9.85546875" style="254" customWidth="1"/>
    <col min="1524" max="1524" width="13.42578125" style="254" customWidth="1"/>
    <col min="1525" max="1525" width="9.140625" style="254"/>
    <col min="1526" max="1526" width="16.85546875" style="254" customWidth="1"/>
    <col min="1527" max="1739" width="9.140625" style="254"/>
    <col min="1740" max="1740" width="4" style="254" customWidth="1"/>
    <col min="1741" max="1741" width="5.42578125" style="254" customWidth="1"/>
    <col min="1742" max="1742" width="49.42578125" style="254" customWidth="1"/>
    <col min="1743" max="1743" width="5" style="254" bestFit="1" customWidth="1"/>
    <col min="1744" max="1744" width="5.42578125" style="254" customWidth="1"/>
    <col min="1745" max="1745" width="3.7109375" style="254" bestFit="1" customWidth="1"/>
    <col min="1746" max="1746" width="9.140625" style="254" customWidth="1"/>
    <col min="1747" max="1747" width="11.28515625" style="254" bestFit="1" customWidth="1"/>
    <col min="1748" max="1748" width="10.28515625" style="254" customWidth="1"/>
    <col min="1749" max="1749" width="11.28515625" style="254" bestFit="1" customWidth="1"/>
    <col min="1750" max="1750" width="10.85546875" style="254" customWidth="1"/>
    <col min="1751" max="1751" width="11.7109375" style="254" customWidth="1"/>
    <col min="1752" max="1752" width="12.28515625" style="254" customWidth="1"/>
    <col min="1753" max="1756" width="10.140625" style="254" bestFit="1" customWidth="1"/>
    <col min="1757" max="1757" width="10.42578125" style="254" customWidth="1"/>
    <col min="1758" max="1758" width="9.85546875" style="254" customWidth="1"/>
    <col min="1759" max="1759" width="11" style="254" bestFit="1" customWidth="1"/>
    <col min="1760" max="1760" width="10.5703125" style="254" customWidth="1"/>
    <col min="1761" max="1761" width="11" style="254" bestFit="1" customWidth="1"/>
    <col min="1762" max="1762" width="9.28515625" style="254" bestFit="1" customWidth="1"/>
    <col min="1763" max="1763" width="9" style="254" customWidth="1"/>
    <col min="1764" max="1764" width="9.28515625" style="254" bestFit="1" customWidth="1"/>
    <col min="1765" max="1767" width="10.140625" style="254" bestFit="1" customWidth="1"/>
    <col min="1768" max="1768" width="11.28515625" style="254" bestFit="1" customWidth="1"/>
    <col min="1769" max="1769" width="10.85546875" style="254" customWidth="1"/>
    <col min="1770" max="1770" width="11.28515625" style="254" bestFit="1" customWidth="1"/>
    <col min="1771" max="1771" width="10.140625" style="254" bestFit="1" customWidth="1"/>
    <col min="1772" max="1772" width="7" style="254" customWidth="1"/>
    <col min="1773" max="1773" width="10.85546875" style="254" customWidth="1"/>
    <col min="1774" max="1774" width="11.7109375" style="254" customWidth="1"/>
    <col min="1775" max="1775" width="10.140625" style="254" customWidth="1"/>
    <col min="1776" max="1776" width="11" style="254" customWidth="1"/>
    <col min="1777" max="1777" width="2.5703125" style="254" customWidth="1"/>
    <col min="1778" max="1778" width="11.140625" style="254" customWidth="1"/>
    <col min="1779" max="1779" width="9.85546875" style="254" customWidth="1"/>
    <col min="1780" max="1780" width="13.42578125" style="254" customWidth="1"/>
    <col min="1781" max="1781" width="9.140625" style="254"/>
    <col min="1782" max="1782" width="16.85546875" style="254" customWidth="1"/>
    <col min="1783" max="1995" width="9.140625" style="254"/>
    <col min="1996" max="1996" width="4" style="254" customWidth="1"/>
    <col min="1997" max="1997" width="5.42578125" style="254" customWidth="1"/>
    <col min="1998" max="1998" width="49.42578125" style="254" customWidth="1"/>
    <col min="1999" max="1999" width="5" style="254" bestFit="1" customWidth="1"/>
    <col min="2000" max="2000" width="5.42578125" style="254" customWidth="1"/>
    <col min="2001" max="2001" width="3.7109375" style="254" bestFit="1" customWidth="1"/>
    <col min="2002" max="2002" width="9.140625" style="254" customWidth="1"/>
    <col min="2003" max="2003" width="11.28515625" style="254" bestFit="1" customWidth="1"/>
    <col min="2004" max="2004" width="10.28515625" style="254" customWidth="1"/>
    <col min="2005" max="2005" width="11.28515625" style="254" bestFit="1" customWidth="1"/>
    <col min="2006" max="2006" width="10.85546875" style="254" customWidth="1"/>
    <col min="2007" max="2007" width="11.7109375" style="254" customWidth="1"/>
    <col min="2008" max="2008" width="12.28515625" style="254" customWidth="1"/>
    <col min="2009" max="2012" width="10.140625" style="254" bestFit="1" customWidth="1"/>
    <col min="2013" max="2013" width="10.42578125" style="254" customWidth="1"/>
    <col min="2014" max="2014" width="9.85546875" style="254" customWidth="1"/>
    <col min="2015" max="2015" width="11" style="254" bestFit="1" customWidth="1"/>
    <col min="2016" max="2016" width="10.5703125" style="254" customWidth="1"/>
    <col min="2017" max="2017" width="11" style="254" bestFit="1" customWidth="1"/>
    <col min="2018" max="2018" width="9.28515625" style="254" bestFit="1" customWidth="1"/>
    <col min="2019" max="2019" width="9" style="254" customWidth="1"/>
    <col min="2020" max="2020" width="9.28515625" style="254" bestFit="1" customWidth="1"/>
    <col min="2021" max="2023" width="10.140625" style="254" bestFit="1" customWidth="1"/>
    <col min="2024" max="2024" width="11.28515625" style="254" bestFit="1" customWidth="1"/>
    <col min="2025" max="2025" width="10.85546875" style="254" customWidth="1"/>
    <col min="2026" max="2026" width="11.28515625" style="254" bestFit="1" customWidth="1"/>
    <col min="2027" max="2027" width="10.140625" style="254" bestFit="1" customWidth="1"/>
    <col min="2028" max="2028" width="7" style="254" customWidth="1"/>
    <col min="2029" max="2029" width="10.85546875" style="254" customWidth="1"/>
    <col min="2030" max="2030" width="11.7109375" style="254" customWidth="1"/>
    <col min="2031" max="2031" width="10.140625" style="254" customWidth="1"/>
    <col min="2032" max="2032" width="11" style="254" customWidth="1"/>
    <col min="2033" max="2033" width="2.5703125" style="254" customWidth="1"/>
    <col min="2034" max="2034" width="11.140625" style="254" customWidth="1"/>
    <col min="2035" max="2035" width="9.85546875" style="254" customWidth="1"/>
    <col min="2036" max="2036" width="13.42578125" style="254" customWidth="1"/>
    <col min="2037" max="2037" width="9.140625" style="254"/>
    <col min="2038" max="2038" width="16.85546875" style="254" customWidth="1"/>
    <col min="2039" max="2251" width="9.140625" style="254"/>
    <col min="2252" max="2252" width="4" style="254" customWidth="1"/>
    <col min="2253" max="2253" width="5.42578125" style="254" customWidth="1"/>
    <col min="2254" max="2254" width="49.42578125" style="254" customWidth="1"/>
    <col min="2255" max="2255" width="5" style="254" bestFit="1" customWidth="1"/>
    <col min="2256" max="2256" width="5.42578125" style="254" customWidth="1"/>
    <col min="2257" max="2257" width="3.7109375" style="254" bestFit="1" customWidth="1"/>
    <col min="2258" max="2258" width="9.140625" style="254" customWidth="1"/>
    <col min="2259" max="2259" width="11.28515625" style="254" bestFit="1" customWidth="1"/>
    <col min="2260" max="2260" width="10.28515625" style="254" customWidth="1"/>
    <col min="2261" max="2261" width="11.28515625" style="254" bestFit="1" customWidth="1"/>
    <col min="2262" max="2262" width="10.85546875" style="254" customWidth="1"/>
    <col min="2263" max="2263" width="11.7109375" style="254" customWidth="1"/>
    <col min="2264" max="2264" width="12.28515625" style="254" customWidth="1"/>
    <col min="2265" max="2268" width="10.140625" style="254" bestFit="1" customWidth="1"/>
    <col min="2269" max="2269" width="10.42578125" style="254" customWidth="1"/>
    <col min="2270" max="2270" width="9.85546875" style="254" customWidth="1"/>
    <col min="2271" max="2271" width="11" style="254" bestFit="1" customWidth="1"/>
    <col min="2272" max="2272" width="10.5703125" style="254" customWidth="1"/>
    <col min="2273" max="2273" width="11" style="254" bestFit="1" customWidth="1"/>
    <col min="2274" max="2274" width="9.28515625" style="254" bestFit="1" customWidth="1"/>
    <col min="2275" max="2275" width="9" style="254" customWidth="1"/>
    <col min="2276" max="2276" width="9.28515625" style="254" bestFit="1" customWidth="1"/>
    <col min="2277" max="2279" width="10.140625" style="254" bestFit="1" customWidth="1"/>
    <col min="2280" max="2280" width="11.28515625" style="254" bestFit="1" customWidth="1"/>
    <col min="2281" max="2281" width="10.85546875" style="254" customWidth="1"/>
    <col min="2282" max="2282" width="11.28515625" style="254" bestFit="1" customWidth="1"/>
    <col min="2283" max="2283" width="10.140625" style="254" bestFit="1" customWidth="1"/>
    <col min="2284" max="2284" width="7" style="254" customWidth="1"/>
    <col min="2285" max="2285" width="10.85546875" style="254" customWidth="1"/>
    <col min="2286" max="2286" width="11.7109375" style="254" customWidth="1"/>
    <col min="2287" max="2287" width="10.140625" style="254" customWidth="1"/>
    <col min="2288" max="2288" width="11" style="254" customWidth="1"/>
    <col min="2289" max="2289" width="2.5703125" style="254" customWidth="1"/>
    <col min="2290" max="2290" width="11.140625" style="254" customWidth="1"/>
    <col min="2291" max="2291" width="9.85546875" style="254" customWidth="1"/>
    <col min="2292" max="2292" width="13.42578125" style="254" customWidth="1"/>
    <col min="2293" max="2293" width="9.140625" style="254"/>
    <col min="2294" max="2294" width="16.85546875" style="254" customWidth="1"/>
    <col min="2295" max="2507" width="9.140625" style="254"/>
    <col min="2508" max="2508" width="4" style="254" customWidth="1"/>
    <col min="2509" max="2509" width="5.42578125" style="254" customWidth="1"/>
    <col min="2510" max="2510" width="49.42578125" style="254" customWidth="1"/>
    <col min="2511" max="2511" width="5" style="254" bestFit="1" customWidth="1"/>
    <col min="2512" max="2512" width="5.42578125" style="254" customWidth="1"/>
    <col min="2513" max="2513" width="3.7109375" style="254" bestFit="1" customWidth="1"/>
    <col min="2514" max="2514" width="9.140625" style="254" customWidth="1"/>
    <col min="2515" max="2515" width="11.28515625" style="254" bestFit="1" customWidth="1"/>
    <col min="2516" max="2516" width="10.28515625" style="254" customWidth="1"/>
    <col min="2517" max="2517" width="11.28515625" style="254" bestFit="1" customWidth="1"/>
    <col min="2518" max="2518" width="10.85546875" style="254" customWidth="1"/>
    <col min="2519" max="2519" width="11.7109375" style="254" customWidth="1"/>
    <col min="2520" max="2520" width="12.28515625" style="254" customWidth="1"/>
    <col min="2521" max="2524" width="10.140625" style="254" bestFit="1" customWidth="1"/>
    <col min="2525" max="2525" width="10.42578125" style="254" customWidth="1"/>
    <col min="2526" max="2526" width="9.85546875" style="254" customWidth="1"/>
    <col min="2527" max="2527" width="11" style="254" bestFit="1" customWidth="1"/>
    <col min="2528" max="2528" width="10.5703125" style="254" customWidth="1"/>
    <col min="2529" max="2529" width="11" style="254" bestFit="1" customWidth="1"/>
    <col min="2530" max="2530" width="9.28515625" style="254" bestFit="1" customWidth="1"/>
    <col min="2531" max="2531" width="9" style="254" customWidth="1"/>
    <col min="2532" max="2532" width="9.28515625" style="254" bestFit="1" customWidth="1"/>
    <col min="2533" max="2535" width="10.140625" style="254" bestFit="1" customWidth="1"/>
    <col min="2536" max="2536" width="11.28515625" style="254" bestFit="1" customWidth="1"/>
    <col min="2537" max="2537" width="10.85546875" style="254" customWidth="1"/>
    <col min="2538" max="2538" width="11.28515625" style="254" bestFit="1" customWidth="1"/>
    <col min="2539" max="2539" width="10.140625" style="254" bestFit="1" customWidth="1"/>
    <col min="2540" max="2540" width="7" style="254" customWidth="1"/>
    <col min="2541" max="2541" width="10.85546875" style="254" customWidth="1"/>
    <col min="2542" max="2542" width="11.7109375" style="254" customWidth="1"/>
    <col min="2543" max="2543" width="10.140625" style="254" customWidth="1"/>
    <col min="2544" max="2544" width="11" style="254" customWidth="1"/>
    <col min="2545" max="2545" width="2.5703125" style="254" customWidth="1"/>
    <col min="2546" max="2546" width="11.140625" style="254" customWidth="1"/>
    <col min="2547" max="2547" width="9.85546875" style="254" customWidth="1"/>
    <col min="2548" max="2548" width="13.42578125" style="254" customWidth="1"/>
    <col min="2549" max="2549" width="9.140625" style="254"/>
    <col min="2550" max="2550" width="16.85546875" style="254" customWidth="1"/>
    <col min="2551" max="2763" width="9.140625" style="254"/>
    <col min="2764" max="2764" width="4" style="254" customWidth="1"/>
    <col min="2765" max="2765" width="5.42578125" style="254" customWidth="1"/>
    <col min="2766" max="2766" width="49.42578125" style="254" customWidth="1"/>
    <col min="2767" max="2767" width="5" style="254" bestFit="1" customWidth="1"/>
    <col min="2768" max="2768" width="5.42578125" style="254" customWidth="1"/>
    <col min="2769" max="2769" width="3.7109375" style="254" bestFit="1" customWidth="1"/>
    <col min="2770" max="2770" width="9.140625" style="254" customWidth="1"/>
    <col min="2771" max="2771" width="11.28515625" style="254" bestFit="1" customWidth="1"/>
    <col min="2772" max="2772" width="10.28515625" style="254" customWidth="1"/>
    <col min="2773" max="2773" width="11.28515625" style="254" bestFit="1" customWidth="1"/>
    <col min="2774" max="2774" width="10.85546875" style="254" customWidth="1"/>
    <col min="2775" max="2775" width="11.7109375" style="254" customWidth="1"/>
    <col min="2776" max="2776" width="12.28515625" style="254" customWidth="1"/>
    <col min="2777" max="2780" width="10.140625" style="254" bestFit="1" customWidth="1"/>
    <col min="2781" max="2781" width="10.42578125" style="254" customWidth="1"/>
    <col min="2782" max="2782" width="9.85546875" style="254" customWidth="1"/>
    <col min="2783" max="2783" width="11" style="254" bestFit="1" customWidth="1"/>
    <col min="2784" max="2784" width="10.5703125" style="254" customWidth="1"/>
    <col min="2785" max="2785" width="11" style="254" bestFit="1" customWidth="1"/>
    <col min="2786" max="2786" width="9.28515625" style="254" bestFit="1" customWidth="1"/>
    <col min="2787" max="2787" width="9" style="254" customWidth="1"/>
    <col min="2788" max="2788" width="9.28515625" style="254" bestFit="1" customWidth="1"/>
    <col min="2789" max="2791" width="10.140625" style="254" bestFit="1" customWidth="1"/>
    <col min="2792" max="2792" width="11.28515625" style="254" bestFit="1" customWidth="1"/>
    <col min="2793" max="2793" width="10.85546875" style="254" customWidth="1"/>
    <col min="2794" max="2794" width="11.28515625" style="254" bestFit="1" customWidth="1"/>
    <col min="2795" max="2795" width="10.140625" style="254" bestFit="1" customWidth="1"/>
    <col min="2796" max="2796" width="7" style="254" customWidth="1"/>
    <col min="2797" max="2797" width="10.85546875" style="254" customWidth="1"/>
    <col min="2798" max="2798" width="11.7109375" style="254" customWidth="1"/>
    <col min="2799" max="2799" width="10.140625" style="254" customWidth="1"/>
    <col min="2800" max="2800" width="11" style="254" customWidth="1"/>
    <col min="2801" max="2801" width="2.5703125" style="254" customWidth="1"/>
    <col min="2802" max="2802" width="11.140625" style="254" customWidth="1"/>
    <col min="2803" max="2803" width="9.85546875" style="254" customWidth="1"/>
    <col min="2804" max="2804" width="13.42578125" style="254" customWidth="1"/>
    <col min="2805" max="2805" width="9.140625" style="254"/>
    <col min="2806" max="2806" width="16.85546875" style="254" customWidth="1"/>
    <col min="2807" max="3019" width="9.140625" style="254"/>
    <col min="3020" max="3020" width="4" style="254" customWidth="1"/>
    <col min="3021" max="3021" width="5.42578125" style="254" customWidth="1"/>
    <col min="3022" max="3022" width="49.42578125" style="254" customWidth="1"/>
    <col min="3023" max="3023" width="5" style="254" bestFit="1" customWidth="1"/>
    <col min="3024" max="3024" width="5.42578125" style="254" customWidth="1"/>
    <col min="3025" max="3025" width="3.7109375" style="254" bestFit="1" customWidth="1"/>
    <col min="3026" max="3026" width="9.140625" style="254" customWidth="1"/>
    <col min="3027" max="3027" width="11.28515625" style="254" bestFit="1" customWidth="1"/>
    <col min="3028" max="3028" width="10.28515625" style="254" customWidth="1"/>
    <col min="3029" max="3029" width="11.28515625" style="254" bestFit="1" customWidth="1"/>
    <col min="3030" max="3030" width="10.85546875" style="254" customWidth="1"/>
    <col min="3031" max="3031" width="11.7109375" style="254" customWidth="1"/>
    <col min="3032" max="3032" width="12.28515625" style="254" customWidth="1"/>
    <col min="3033" max="3036" width="10.140625" style="254" bestFit="1" customWidth="1"/>
    <col min="3037" max="3037" width="10.42578125" style="254" customWidth="1"/>
    <col min="3038" max="3038" width="9.85546875" style="254" customWidth="1"/>
    <col min="3039" max="3039" width="11" style="254" bestFit="1" customWidth="1"/>
    <col min="3040" max="3040" width="10.5703125" style="254" customWidth="1"/>
    <col min="3041" max="3041" width="11" style="254" bestFit="1" customWidth="1"/>
    <col min="3042" max="3042" width="9.28515625" style="254" bestFit="1" customWidth="1"/>
    <col min="3043" max="3043" width="9" style="254" customWidth="1"/>
    <col min="3044" max="3044" width="9.28515625" style="254" bestFit="1" customWidth="1"/>
    <col min="3045" max="3047" width="10.140625" style="254" bestFit="1" customWidth="1"/>
    <col min="3048" max="3048" width="11.28515625" style="254" bestFit="1" customWidth="1"/>
    <col min="3049" max="3049" width="10.85546875" style="254" customWidth="1"/>
    <col min="3050" max="3050" width="11.28515625" style="254" bestFit="1" customWidth="1"/>
    <col min="3051" max="3051" width="10.140625" style="254" bestFit="1" customWidth="1"/>
    <col min="3052" max="3052" width="7" style="254" customWidth="1"/>
    <col min="3053" max="3053" width="10.85546875" style="254" customWidth="1"/>
    <col min="3054" max="3054" width="11.7109375" style="254" customWidth="1"/>
    <col min="3055" max="3055" width="10.140625" style="254" customWidth="1"/>
    <col min="3056" max="3056" width="11" style="254" customWidth="1"/>
    <col min="3057" max="3057" width="2.5703125" style="254" customWidth="1"/>
    <col min="3058" max="3058" width="11.140625" style="254" customWidth="1"/>
    <col min="3059" max="3059" width="9.85546875" style="254" customWidth="1"/>
    <col min="3060" max="3060" width="13.42578125" style="254" customWidth="1"/>
    <col min="3061" max="3061" width="9.140625" style="254"/>
    <col min="3062" max="3062" width="16.85546875" style="254" customWidth="1"/>
    <col min="3063" max="3275" width="9.140625" style="254"/>
    <col min="3276" max="3276" width="4" style="254" customWidth="1"/>
    <col min="3277" max="3277" width="5.42578125" style="254" customWidth="1"/>
    <col min="3278" max="3278" width="49.42578125" style="254" customWidth="1"/>
    <col min="3279" max="3279" width="5" style="254" bestFit="1" customWidth="1"/>
    <col min="3280" max="3280" width="5.42578125" style="254" customWidth="1"/>
    <col min="3281" max="3281" width="3.7109375" style="254" bestFit="1" customWidth="1"/>
    <col min="3282" max="3282" width="9.140625" style="254" customWidth="1"/>
    <col min="3283" max="3283" width="11.28515625" style="254" bestFit="1" customWidth="1"/>
    <col min="3284" max="3284" width="10.28515625" style="254" customWidth="1"/>
    <col min="3285" max="3285" width="11.28515625" style="254" bestFit="1" customWidth="1"/>
    <col min="3286" max="3286" width="10.85546875" style="254" customWidth="1"/>
    <col min="3287" max="3287" width="11.7109375" style="254" customWidth="1"/>
    <col min="3288" max="3288" width="12.28515625" style="254" customWidth="1"/>
    <col min="3289" max="3292" width="10.140625" style="254" bestFit="1" customWidth="1"/>
    <col min="3293" max="3293" width="10.42578125" style="254" customWidth="1"/>
    <col min="3294" max="3294" width="9.85546875" style="254" customWidth="1"/>
    <col min="3295" max="3295" width="11" style="254" bestFit="1" customWidth="1"/>
    <col min="3296" max="3296" width="10.5703125" style="254" customWidth="1"/>
    <col min="3297" max="3297" width="11" style="254" bestFit="1" customWidth="1"/>
    <col min="3298" max="3298" width="9.28515625" style="254" bestFit="1" customWidth="1"/>
    <col min="3299" max="3299" width="9" style="254" customWidth="1"/>
    <col min="3300" max="3300" width="9.28515625" style="254" bestFit="1" customWidth="1"/>
    <col min="3301" max="3303" width="10.140625" style="254" bestFit="1" customWidth="1"/>
    <col min="3304" max="3304" width="11.28515625" style="254" bestFit="1" customWidth="1"/>
    <col min="3305" max="3305" width="10.85546875" style="254" customWidth="1"/>
    <col min="3306" max="3306" width="11.28515625" style="254" bestFit="1" customWidth="1"/>
    <col min="3307" max="3307" width="10.140625" style="254" bestFit="1" customWidth="1"/>
    <col min="3308" max="3308" width="7" style="254" customWidth="1"/>
    <col min="3309" max="3309" width="10.85546875" style="254" customWidth="1"/>
    <col min="3310" max="3310" width="11.7109375" style="254" customWidth="1"/>
    <col min="3311" max="3311" width="10.140625" style="254" customWidth="1"/>
    <col min="3312" max="3312" width="11" style="254" customWidth="1"/>
    <col min="3313" max="3313" width="2.5703125" style="254" customWidth="1"/>
    <col min="3314" max="3314" width="11.140625" style="254" customWidth="1"/>
    <col min="3315" max="3315" width="9.85546875" style="254" customWidth="1"/>
    <col min="3316" max="3316" width="13.42578125" style="254" customWidth="1"/>
    <col min="3317" max="3317" width="9.140625" style="254"/>
    <col min="3318" max="3318" width="16.85546875" style="254" customWidth="1"/>
    <col min="3319" max="3531" width="9.140625" style="254"/>
    <col min="3532" max="3532" width="4" style="254" customWidth="1"/>
    <col min="3533" max="3533" width="5.42578125" style="254" customWidth="1"/>
    <col min="3534" max="3534" width="49.42578125" style="254" customWidth="1"/>
    <col min="3535" max="3535" width="5" style="254" bestFit="1" customWidth="1"/>
    <col min="3536" max="3536" width="5.42578125" style="254" customWidth="1"/>
    <col min="3537" max="3537" width="3.7109375" style="254" bestFit="1" customWidth="1"/>
    <col min="3538" max="3538" width="9.140625" style="254" customWidth="1"/>
    <col min="3539" max="3539" width="11.28515625" style="254" bestFit="1" customWidth="1"/>
    <col min="3540" max="3540" width="10.28515625" style="254" customWidth="1"/>
    <col min="3541" max="3541" width="11.28515625" style="254" bestFit="1" customWidth="1"/>
    <col min="3542" max="3542" width="10.85546875" style="254" customWidth="1"/>
    <col min="3543" max="3543" width="11.7109375" style="254" customWidth="1"/>
    <col min="3544" max="3544" width="12.28515625" style="254" customWidth="1"/>
    <col min="3545" max="3548" width="10.140625" style="254" bestFit="1" customWidth="1"/>
    <col min="3549" max="3549" width="10.42578125" style="254" customWidth="1"/>
    <col min="3550" max="3550" width="9.85546875" style="254" customWidth="1"/>
    <col min="3551" max="3551" width="11" style="254" bestFit="1" customWidth="1"/>
    <col min="3552" max="3552" width="10.5703125" style="254" customWidth="1"/>
    <col min="3553" max="3553" width="11" style="254" bestFit="1" customWidth="1"/>
    <col min="3554" max="3554" width="9.28515625" style="254" bestFit="1" customWidth="1"/>
    <col min="3555" max="3555" width="9" style="254" customWidth="1"/>
    <col min="3556" max="3556" width="9.28515625" style="254" bestFit="1" customWidth="1"/>
    <col min="3557" max="3559" width="10.140625" style="254" bestFit="1" customWidth="1"/>
    <col min="3560" max="3560" width="11.28515625" style="254" bestFit="1" customWidth="1"/>
    <col min="3561" max="3561" width="10.85546875" style="254" customWidth="1"/>
    <col min="3562" max="3562" width="11.28515625" style="254" bestFit="1" customWidth="1"/>
    <col min="3563" max="3563" width="10.140625" style="254" bestFit="1" customWidth="1"/>
    <col min="3564" max="3564" width="7" style="254" customWidth="1"/>
    <col min="3565" max="3565" width="10.85546875" style="254" customWidth="1"/>
    <col min="3566" max="3566" width="11.7109375" style="254" customWidth="1"/>
    <col min="3567" max="3567" width="10.140625" style="254" customWidth="1"/>
    <col min="3568" max="3568" width="11" style="254" customWidth="1"/>
    <col min="3569" max="3569" width="2.5703125" style="254" customWidth="1"/>
    <col min="3570" max="3570" width="11.140625" style="254" customWidth="1"/>
    <col min="3571" max="3571" width="9.85546875" style="254" customWidth="1"/>
    <col min="3572" max="3572" width="13.42578125" style="254" customWidth="1"/>
    <col min="3573" max="3573" width="9.140625" style="254"/>
    <col min="3574" max="3574" width="16.85546875" style="254" customWidth="1"/>
    <col min="3575" max="3787" width="9.140625" style="254"/>
    <col min="3788" max="3788" width="4" style="254" customWidth="1"/>
    <col min="3789" max="3789" width="5.42578125" style="254" customWidth="1"/>
    <col min="3790" max="3790" width="49.42578125" style="254" customWidth="1"/>
    <col min="3791" max="3791" width="5" style="254" bestFit="1" customWidth="1"/>
    <col min="3792" max="3792" width="5.42578125" style="254" customWidth="1"/>
    <col min="3793" max="3793" width="3.7109375" style="254" bestFit="1" customWidth="1"/>
    <col min="3794" max="3794" width="9.140625" style="254" customWidth="1"/>
    <col min="3795" max="3795" width="11.28515625" style="254" bestFit="1" customWidth="1"/>
    <col min="3796" max="3796" width="10.28515625" style="254" customWidth="1"/>
    <col min="3797" max="3797" width="11.28515625" style="254" bestFit="1" customWidth="1"/>
    <col min="3798" max="3798" width="10.85546875" style="254" customWidth="1"/>
    <col min="3799" max="3799" width="11.7109375" style="254" customWidth="1"/>
    <col min="3800" max="3800" width="12.28515625" style="254" customWidth="1"/>
    <col min="3801" max="3804" width="10.140625" style="254" bestFit="1" customWidth="1"/>
    <col min="3805" max="3805" width="10.42578125" style="254" customWidth="1"/>
    <col min="3806" max="3806" width="9.85546875" style="254" customWidth="1"/>
    <col min="3807" max="3807" width="11" style="254" bestFit="1" customWidth="1"/>
    <col min="3808" max="3808" width="10.5703125" style="254" customWidth="1"/>
    <col min="3809" max="3809" width="11" style="254" bestFit="1" customWidth="1"/>
    <col min="3810" max="3810" width="9.28515625" style="254" bestFit="1" customWidth="1"/>
    <col min="3811" max="3811" width="9" style="254" customWidth="1"/>
    <col min="3812" max="3812" width="9.28515625" style="254" bestFit="1" customWidth="1"/>
    <col min="3813" max="3815" width="10.140625" style="254" bestFit="1" customWidth="1"/>
    <col min="3816" max="3816" width="11.28515625" style="254" bestFit="1" customWidth="1"/>
    <col min="3817" max="3817" width="10.85546875" style="254" customWidth="1"/>
    <col min="3818" max="3818" width="11.28515625" style="254" bestFit="1" customWidth="1"/>
    <col min="3819" max="3819" width="10.140625" style="254" bestFit="1" customWidth="1"/>
    <col min="3820" max="3820" width="7" style="254" customWidth="1"/>
    <col min="3821" max="3821" width="10.85546875" style="254" customWidth="1"/>
    <col min="3822" max="3822" width="11.7109375" style="254" customWidth="1"/>
    <col min="3823" max="3823" width="10.140625" style="254" customWidth="1"/>
    <col min="3824" max="3824" width="11" style="254" customWidth="1"/>
    <col min="3825" max="3825" width="2.5703125" style="254" customWidth="1"/>
    <col min="3826" max="3826" width="11.140625" style="254" customWidth="1"/>
    <col min="3827" max="3827" width="9.85546875" style="254" customWidth="1"/>
    <col min="3828" max="3828" width="13.42578125" style="254" customWidth="1"/>
    <col min="3829" max="3829" width="9.140625" style="254"/>
    <col min="3830" max="3830" width="16.85546875" style="254" customWidth="1"/>
    <col min="3831" max="4043" width="9.140625" style="254"/>
    <col min="4044" max="4044" width="4" style="254" customWidth="1"/>
    <col min="4045" max="4045" width="5.42578125" style="254" customWidth="1"/>
    <col min="4046" max="4046" width="49.42578125" style="254" customWidth="1"/>
    <col min="4047" max="4047" width="5" style="254" bestFit="1" customWidth="1"/>
    <col min="4048" max="4048" width="5.42578125" style="254" customWidth="1"/>
    <col min="4049" max="4049" width="3.7109375" style="254" bestFit="1" customWidth="1"/>
    <col min="4050" max="4050" width="9.140625" style="254" customWidth="1"/>
    <col min="4051" max="4051" width="11.28515625" style="254" bestFit="1" customWidth="1"/>
    <col min="4052" max="4052" width="10.28515625" style="254" customWidth="1"/>
    <col min="4053" max="4053" width="11.28515625" style="254" bestFit="1" customWidth="1"/>
    <col min="4054" max="4054" width="10.85546875" style="254" customWidth="1"/>
    <col min="4055" max="4055" width="11.7109375" style="254" customWidth="1"/>
    <col min="4056" max="4056" width="12.28515625" style="254" customWidth="1"/>
    <col min="4057" max="4060" width="10.140625" style="254" bestFit="1" customWidth="1"/>
    <col min="4061" max="4061" width="10.42578125" style="254" customWidth="1"/>
    <col min="4062" max="4062" width="9.85546875" style="254" customWidth="1"/>
    <col min="4063" max="4063" width="11" style="254" bestFit="1" customWidth="1"/>
    <col min="4064" max="4064" width="10.5703125" style="254" customWidth="1"/>
    <col min="4065" max="4065" width="11" style="254" bestFit="1" customWidth="1"/>
    <col min="4066" max="4066" width="9.28515625" style="254" bestFit="1" customWidth="1"/>
    <col min="4067" max="4067" width="9" style="254" customWidth="1"/>
    <col min="4068" max="4068" width="9.28515625" style="254" bestFit="1" customWidth="1"/>
    <col min="4069" max="4071" width="10.140625" style="254" bestFit="1" customWidth="1"/>
    <col min="4072" max="4072" width="11.28515625" style="254" bestFit="1" customWidth="1"/>
    <col min="4073" max="4073" width="10.85546875" style="254" customWidth="1"/>
    <col min="4074" max="4074" width="11.28515625" style="254" bestFit="1" customWidth="1"/>
    <col min="4075" max="4075" width="10.140625" style="254" bestFit="1" customWidth="1"/>
    <col min="4076" max="4076" width="7" style="254" customWidth="1"/>
    <col min="4077" max="4077" width="10.85546875" style="254" customWidth="1"/>
    <col min="4078" max="4078" width="11.7109375" style="254" customWidth="1"/>
    <col min="4079" max="4079" width="10.140625" style="254" customWidth="1"/>
    <col min="4080" max="4080" width="11" style="254" customWidth="1"/>
    <col min="4081" max="4081" width="2.5703125" style="254" customWidth="1"/>
    <col min="4082" max="4082" width="11.140625" style="254" customWidth="1"/>
    <col min="4083" max="4083" width="9.85546875" style="254" customWidth="1"/>
    <col min="4084" max="4084" width="13.42578125" style="254" customWidth="1"/>
    <col min="4085" max="4085" width="9.140625" style="254"/>
    <col min="4086" max="4086" width="16.85546875" style="254" customWidth="1"/>
    <col min="4087" max="4299" width="9.140625" style="254"/>
    <col min="4300" max="4300" width="4" style="254" customWidth="1"/>
    <col min="4301" max="4301" width="5.42578125" style="254" customWidth="1"/>
    <col min="4302" max="4302" width="49.42578125" style="254" customWidth="1"/>
    <col min="4303" max="4303" width="5" style="254" bestFit="1" customWidth="1"/>
    <col min="4304" max="4304" width="5.42578125" style="254" customWidth="1"/>
    <col min="4305" max="4305" width="3.7109375" style="254" bestFit="1" customWidth="1"/>
    <col min="4306" max="4306" width="9.140625" style="254" customWidth="1"/>
    <col min="4307" max="4307" width="11.28515625" style="254" bestFit="1" customWidth="1"/>
    <col min="4308" max="4308" width="10.28515625" style="254" customWidth="1"/>
    <col min="4309" max="4309" width="11.28515625" style="254" bestFit="1" customWidth="1"/>
    <col min="4310" max="4310" width="10.85546875" style="254" customWidth="1"/>
    <col min="4311" max="4311" width="11.7109375" style="254" customWidth="1"/>
    <col min="4312" max="4312" width="12.28515625" style="254" customWidth="1"/>
    <col min="4313" max="4316" width="10.140625" style="254" bestFit="1" customWidth="1"/>
    <col min="4317" max="4317" width="10.42578125" style="254" customWidth="1"/>
    <col min="4318" max="4318" width="9.85546875" style="254" customWidth="1"/>
    <col min="4319" max="4319" width="11" style="254" bestFit="1" customWidth="1"/>
    <col min="4320" max="4320" width="10.5703125" style="254" customWidth="1"/>
    <col min="4321" max="4321" width="11" style="254" bestFit="1" customWidth="1"/>
    <col min="4322" max="4322" width="9.28515625" style="254" bestFit="1" customWidth="1"/>
    <col min="4323" max="4323" width="9" style="254" customWidth="1"/>
    <col min="4324" max="4324" width="9.28515625" style="254" bestFit="1" customWidth="1"/>
    <col min="4325" max="4327" width="10.140625" style="254" bestFit="1" customWidth="1"/>
    <col min="4328" max="4328" width="11.28515625" style="254" bestFit="1" customWidth="1"/>
    <col min="4329" max="4329" width="10.85546875" style="254" customWidth="1"/>
    <col min="4330" max="4330" width="11.28515625" style="254" bestFit="1" customWidth="1"/>
    <col min="4331" max="4331" width="10.140625" style="254" bestFit="1" customWidth="1"/>
    <col min="4332" max="4332" width="7" style="254" customWidth="1"/>
    <col min="4333" max="4333" width="10.85546875" style="254" customWidth="1"/>
    <col min="4334" max="4334" width="11.7109375" style="254" customWidth="1"/>
    <col min="4335" max="4335" width="10.140625" style="254" customWidth="1"/>
    <col min="4336" max="4336" width="11" style="254" customWidth="1"/>
    <col min="4337" max="4337" width="2.5703125" style="254" customWidth="1"/>
    <col min="4338" max="4338" width="11.140625" style="254" customWidth="1"/>
    <col min="4339" max="4339" width="9.85546875" style="254" customWidth="1"/>
    <col min="4340" max="4340" width="13.42578125" style="254" customWidth="1"/>
    <col min="4341" max="4341" width="9.140625" style="254"/>
    <col min="4342" max="4342" width="16.85546875" style="254" customWidth="1"/>
    <col min="4343" max="4555" width="9.140625" style="254"/>
    <col min="4556" max="4556" width="4" style="254" customWidth="1"/>
    <col min="4557" max="4557" width="5.42578125" style="254" customWidth="1"/>
    <col min="4558" max="4558" width="49.42578125" style="254" customWidth="1"/>
    <col min="4559" max="4559" width="5" style="254" bestFit="1" customWidth="1"/>
    <col min="4560" max="4560" width="5.42578125" style="254" customWidth="1"/>
    <col min="4561" max="4561" width="3.7109375" style="254" bestFit="1" customWidth="1"/>
    <col min="4562" max="4562" width="9.140625" style="254" customWidth="1"/>
    <col min="4563" max="4563" width="11.28515625" style="254" bestFit="1" customWidth="1"/>
    <col min="4564" max="4564" width="10.28515625" style="254" customWidth="1"/>
    <col min="4565" max="4565" width="11.28515625" style="254" bestFit="1" customWidth="1"/>
    <col min="4566" max="4566" width="10.85546875" style="254" customWidth="1"/>
    <col min="4567" max="4567" width="11.7109375" style="254" customWidth="1"/>
    <col min="4568" max="4568" width="12.28515625" style="254" customWidth="1"/>
    <col min="4569" max="4572" width="10.140625" style="254" bestFit="1" customWidth="1"/>
    <col min="4573" max="4573" width="10.42578125" style="254" customWidth="1"/>
    <col min="4574" max="4574" width="9.85546875" style="254" customWidth="1"/>
    <col min="4575" max="4575" width="11" style="254" bestFit="1" customWidth="1"/>
    <col min="4576" max="4576" width="10.5703125" style="254" customWidth="1"/>
    <col min="4577" max="4577" width="11" style="254" bestFit="1" customWidth="1"/>
    <col min="4578" max="4578" width="9.28515625" style="254" bestFit="1" customWidth="1"/>
    <col min="4579" max="4579" width="9" style="254" customWidth="1"/>
    <col min="4580" max="4580" width="9.28515625" style="254" bestFit="1" customWidth="1"/>
    <col min="4581" max="4583" width="10.140625" style="254" bestFit="1" customWidth="1"/>
    <col min="4584" max="4584" width="11.28515625" style="254" bestFit="1" customWidth="1"/>
    <col min="4585" max="4585" width="10.85546875" style="254" customWidth="1"/>
    <col min="4586" max="4586" width="11.28515625" style="254" bestFit="1" customWidth="1"/>
    <col min="4587" max="4587" width="10.140625" style="254" bestFit="1" customWidth="1"/>
    <col min="4588" max="4588" width="7" style="254" customWidth="1"/>
    <col min="4589" max="4589" width="10.85546875" style="254" customWidth="1"/>
    <col min="4590" max="4590" width="11.7109375" style="254" customWidth="1"/>
    <col min="4591" max="4591" width="10.140625" style="254" customWidth="1"/>
    <col min="4592" max="4592" width="11" style="254" customWidth="1"/>
    <col min="4593" max="4593" width="2.5703125" style="254" customWidth="1"/>
    <col min="4594" max="4594" width="11.140625" style="254" customWidth="1"/>
    <col min="4595" max="4595" width="9.85546875" style="254" customWidth="1"/>
    <col min="4596" max="4596" width="13.42578125" style="254" customWidth="1"/>
    <col min="4597" max="4597" width="9.140625" style="254"/>
    <col min="4598" max="4598" width="16.85546875" style="254" customWidth="1"/>
    <col min="4599" max="4811" width="9.140625" style="254"/>
    <col min="4812" max="4812" width="4" style="254" customWidth="1"/>
    <col min="4813" max="4813" width="5.42578125" style="254" customWidth="1"/>
    <col min="4814" max="4814" width="49.42578125" style="254" customWidth="1"/>
    <col min="4815" max="4815" width="5" style="254" bestFit="1" customWidth="1"/>
    <col min="4816" max="4816" width="5.42578125" style="254" customWidth="1"/>
    <col min="4817" max="4817" width="3.7109375" style="254" bestFit="1" customWidth="1"/>
    <col min="4818" max="4818" width="9.140625" style="254" customWidth="1"/>
    <col min="4819" max="4819" width="11.28515625" style="254" bestFit="1" customWidth="1"/>
    <col min="4820" max="4820" width="10.28515625" style="254" customWidth="1"/>
    <col min="4821" max="4821" width="11.28515625" style="254" bestFit="1" customWidth="1"/>
    <col min="4822" max="4822" width="10.85546875" style="254" customWidth="1"/>
    <col min="4823" max="4823" width="11.7109375" style="254" customWidth="1"/>
    <col min="4824" max="4824" width="12.28515625" style="254" customWidth="1"/>
    <col min="4825" max="4828" width="10.140625" style="254" bestFit="1" customWidth="1"/>
    <col min="4829" max="4829" width="10.42578125" style="254" customWidth="1"/>
    <col min="4830" max="4830" width="9.85546875" style="254" customWidth="1"/>
    <col min="4831" max="4831" width="11" style="254" bestFit="1" customWidth="1"/>
    <col min="4832" max="4832" width="10.5703125" style="254" customWidth="1"/>
    <col min="4833" max="4833" width="11" style="254" bestFit="1" customWidth="1"/>
    <col min="4834" max="4834" width="9.28515625" style="254" bestFit="1" customWidth="1"/>
    <col min="4835" max="4835" width="9" style="254" customWidth="1"/>
    <col min="4836" max="4836" width="9.28515625" style="254" bestFit="1" customWidth="1"/>
    <col min="4837" max="4839" width="10.140625" style="254" bestFit="1" customWidth="1"/>
    <col min="4840" max="4840" width="11.28515625" style="254" bestFit="1" customWidth="1"/>
    <col min="4841" max="4841" width="10.85546875" style="254" customWidth="1"/>
    <col min="4842" max="4842" width="11.28515625" style="254" bestFit="1" customWidth="1"/>
    <col min="4843" max="4843" width="10.140625" style="254" bestFit="1" customWidth="1"/>
    <col min="4844" max="4844" width="7" style="254" customWidth="1"/>
    <col min="4845" max="4845" width="10.85546875" style="254" customWidth="1"/>
    <col min="4846" max="4846" width="11.7109375" style="254" customWidth="1"/>
    <col min="4847" max="4847" width="10.140625" style="254" customWidth="1"/>
    <col min="4848" max="4848" width="11" style="254" customWidth="1"/>
    <col min="4849" max="4849" width="2.5703125" style="254" customWidth="1"/>
    <col min="4850" max="4850" width="11.140625" style="254" customWidth="1"/>
    <col min="4851" max="4851" width="9.85546875" style="254" customWidth="1"/>
    <col min="4852" max="4852" width="13.42578125" style="254" customWidth="1"/>
    <col min="4853" max="4853" width="9.140625" style="254"/>
    <col min="4854" max="4854" width="16.85546875" style="254" customWidth="1"/>
    <col min="4855" max="5067" width="9.140625" style="254"/>
    <col min="5068" max="5068" width="4" style="254" customWidth="1"/>
    <col min="5069" max="5069" width="5.42578125" style="254" customWidth="1"/>
    <col min="5070" max="5070" width="49.42578125" style="254" customWidth="1"/>
    <col min="5071" max="5071" width="5" style="254" bestFit="1" customWidth="1"/>
    <col min="5072" max="5072" width="5.42578125" style="254" customWidth="1"/>
    <col min="5073" max="5073" width="3.7109375" style="254" bestFit="1" customWidth="1"/>
    <col min="5074" max="5074" width="9.140625" style="254" customWidth="1"/>
    <col min="5075" max="5075" width="11.28515625" style="254" bestFit="1" customWidth="1"/>
    <col min="5076" max="5076" width="10.28515625" style="254" customWidth="1"/>
    <col min="5077" max="5077" width="11.28515625" style="254" bestFit="1" customWidth="1"/>
    <col min="5078" max="5078" width="10.85546875" style="254" customWidth="1"/>
    <col min="5079" max="5079" width="11.7109375" style="254" customWidth="1"/>
    <col min="5080" max="5080" width="12.28515625" style="254" customWidth="1"/>
    <col min="5081" max="5084" width="10.140625" style="254" bestFit="1" customWidth="1"/>
    <col min="5085" max="5085" width="10.42578125" style="254" customWidth="1"/>
    <col min="5086" max="5086" width="9.85546875" style="254" customWidth="1"/>
    <col min="5087" max="5087" width="11" style="254" bestFit="1" customWidth="1"/>
    <col min="5088" max="5088" width="10.5703125" style="254" customWidth="1"/>
    <col min="5089" max="5089" width="11" style="254" bestFit="1" customWidth="1"/>
    <col min="5090" max="5090" width="9.28515625" style="254" bestFit="1" customWidth="1"/>
    <col min="5091" max="5091" width="9" style="254" customWidth="1"/>
    <col min="5092" max="5092" width="9.28515625" style="254" bestFit="1" customWidth="1"/>
    <col min="5093" max="5095" width="10.140625" style="254" bestFit="1" customWidth="1"/>
    <col min="5096" max="5096" width="11.28515625" style="254" bestFit="1" customWidth="1"/>
    <col min="5097" max="5097" width="10.85546875" style="254" customWidth="1"/>
    <col min="5098" max="5098" width="11.28515625" style="254" bestFit="1" customWidth="1"/>
    <col min="5099" max="5099" width="10.140625" style="254" bestFit="1" customWidth="1"/>
    <col min="5100" max="5100" width="7" style="254" customWidth="1"/>
    <col min="5101" max="5101" width="10.85546875" style="254" customWidth="1"/>
    <col min="5102" max="5102" width="11.7109375" style="254" customWidth="1"/>
    <col min="5103" max="5103" width="10.140625" style="254" customWidth="1"/>
    <col min="5104" max="5104" width="11" style="254" customWidth="1"/>
    <col min="5105" max="5105" width="2.5703125" style="254" customWidth="1"/>
    <col min="5106" max="5106" width="11.140625" style="254" customWidth="1"/>
    <col min="5107" max="5107" width="9.85546875" style="254" customWidth="1"/>
    <col min="5108" max="5108" width="13.42578125" style="254" customWidth="1"/>
    <col min="5109" max="5109" width="9.140625" style="254"/>
    <col min="5110" max="5110" width="16.85546875" style="254" customWidth="1"/>
    <col min="5111" max="5323" width="9.140625" style="254"/>
    <col min="5324" max="5324" width="4" style="254" customWidth="1"/>
    <col min="5325" max="5325" width="5.42578125" style="254" customWidth="1"/>
    <col min="5326" max="5326" width="49.42578125" style="254" customWidth="1"/>
    <col min="5327" max="5327" width="5" style="254" bestFit="1" customWidth="1"/>
    <col min="5328" max="5328" width="5.42578125" style="254" customWidth="1"/>
    <col min="5329" max="5329" width="3.7109375" style="254" bestFit="1" customWidth="1"/>
    <col min="5330" max="5330" width="9.140625" style="254" customWidth="1"/>
    <col min="5331" max="5331" width="11.28515625" style="254" bestFit="1" customWidth="1"/>
    <col min="5332" max="5332" width="10.28515625" style="254" customWidth="1"/>
    <col min="5333" max="5333" width="11.28515625" style="254" bestFit="1" customWidth="1"/>
    <col min="5334" max="5334" width="10.85546875" style="254" customWidth="1"/>
    <col min="5335" max="5335" width="11.7109375" style="254" customWidth="1"/>
    <col min="5336" max="5336" width="12.28515625" style="254" customWidth="1"/>
    <col min="5337" max="5340" width="10.140625" style="254" bestFit="1" customWidth="1"/>
    <col min="5341" max="5341" width="10.42578125" style="254" customWidth="1"/>
    <col min="5342" max="5342" width="9.85546875" style="254" customWidth="1"/>
    <col min="5343" max="5343" width="11" style="254" bestFit="1" customWidth="1"/>
    <col min="5344" max="5344" width="10.5703125" style="254" customWidth="1"/>
    <col min="5345" max="5345" width="11" style="254" bestFit="1" customWidth="1"/>
    <col min="5346" max="5346" width="9.28515625" style="254" bestFit="1" customWidth="1"/>
    <col min="5347" max="5347" width="9" style="254" customWidth="1"/>
    <col min="5348" max="5348" width="9.28515625" style="254" bestFit="1" customWidth="1"/>
    <col min="5349" max="5351" width="10.140625" style="254" bestFit="1" customWidth="1"/>
    <col min="5352" max="5352" width="11.28515625" style="254" bestFit="1" customWidth="1"/>
    <col min="5353" max="5353" width="10.85546875" style="254" customWidth="1"/>
    <col min="5354" max="5354" width="11.28515625" style="254" bestFit="1" customWidth="1"/>
    <col min="5355" max="5355" width="10.140625" style="254" bestFit="1" customWidth="1"/>
    <col min="5356" max="5356" width="7" style="254" customWidth="1"/>
    <col min="5357" max="5357" width="10.85546875" style="254" customWidth="1"/>
    <col min="5358" max="5358" width="11.7109375" style="254" customWidth="1"/>
    <col min="5359" max="5359" width="10.140625" style="254" customWidth="1"/>
    <col min="5360" max="5360" width="11" style="254" customWidth="1"/>
    <col min="5361" max="5361" width="2.5703125" style="254" customWidth="1"/>
    <col min="5362" max="5362" width="11.140625" style="254" customWidth="1"/>
    <col min="5363" max="5363" width="9.85546875" style="254" customWidth="1"/>
    <col min="5364" max="5364" width="13.42578125" style="254" customWidth="1"/>
    <col min="5365" max="5365" width="9.140625" style="254"/>
    <col min="5366" max="5366" width="16.85546875" style="254" customWidth="1"/>
    <col min="5367" max="5579" width="9.140625" style="254"/>
    <col min="5580" max="5580" width="4" style="254" customWidth="1"/>
    <col min="5581" max="5581" width="5.42578125" style="254" customWidth="1"/>
    <col min="5582" max="5582" width="49.42578125" style="254" customWidth="1"/>
    <col min="5583" max="5583" width="5" style="254" bestFit="1" customWidth="1"/>
    <col min="5584" max="5584" width="5.42578125" style="254" customWidth="1"/>
    <col min="5585" max="5585" width="3.7109375" style="254" bestFit="1" customWidth="1"/>
    <col min="5586" max="5586" width="9.140625" style="254" customWidth="1"/>
    <col min="5587" max="5587" width="11.28515625" style="254" bestFit="1" customWidth="1"/>
    <col min="5588" max="5588" width="10.28515625" style="254" customWidth="1"/>
    <col min="5589" max="5589" width="11.28515625" style="254" bestFit="1" customWidth="1"/>
    <col min="5590" max="5590" width="10.85546875" style="254" customWidth="1"/>
    <col min="5591" max="5591" width="11.7109375" style="254" customWidth="1"/>
    <col min="5592" max="5592" width="12.28515625" style="254" customWidth="1"/>
    <col min="5593" max="5596" width="10.140625" style="254" bestFit="1" customWidth="1"/>
    <col min="5597" max="5597" width="10.42578125" style="254" customWidth="1"/>
    <col min="5598" max="5598" width="9.85546875" style="254" customWidth="1"/>
    <col min="5599" max="5599" width="11" style="254" bestFit="1" customWidth="1"/>
    <col min="5600" max="5600" width="10.5703125" style="254" customWidth="1"/>
    <col min="5601" max="5601" width="11" style="254" bestFit="1" customWidth="1"/>
    <col min="5602" max="5602" width="9.28515625" style="254" bestFit="1" customWidth="1"/>
    <col min="5603" max="5603" width="9" style="254" customWidth="1"/>
    <col min="5604" max="5604" width="9.28515625" style="254" bestFit="1" customWidth="1"/>
    <col min="5605" max="5607" width="10.140625" style="254" bestFit="1" customWidth="1"/>
    <col min="5608" max="5608" width="11.28515625" style="254" bestFit="1" customWidth="1"/>
    <col min="5609" max="5609" width="10.85546875" style="254" customWidth="1"/>
    <col min="5610" max="5610" width="11.28515625" style="254" bestFit="1" customWidth="1"/>
    <col min="5611" max="5611" width="10.140625" style="254" bestFit="1" customWidth="1"/>
    <col min="5612" max="5612" width="7" style="254" customWidth="1"/>
    <col min="5613" max="5613" width="10.85546875" style="254" customWidth="1"/>
    <col min="5614" max="5614" width="11.7109375" style="254" customWidth="1"/>
    <col min="5615" max="5615" width="10.140625" style="254" customWidth="1"/>
    <col min="5616" max="5616" width="11" style="254" customWidth="1"/>
    <col min="5617" max="5617" width="2.5703125" style="254" customWidth="1"/>
    <col min="5618" max="5618" width="11.140625" style="254" customWidth="1"/>
    <col min="5619" max="5619" width="9.85546875" style="254" customWidth="1"/>
    <col min="5620" max="5620" width="13.42578125" style="254" customWidth="1"/>
    <col min="5621" max="5621" width="9.140625" style="254"/>
    <col min="5622" max="5622" width="16.85546875" style="254" customWidth="1"/>
    <col min="5623" max="5835" width="9.140625" style="254"/>
    <col min="5836" max="5836" width="4" style="254" customWidth="1"/>
    <col min="5837" max="5837" width="5.42578125" style="254" customWidth="1"/>
    <col min="5838" max="5838" width="49.42578125" style="254" customWidth="1"/>
    <col min="5839" max="5839" width="5" style="254" bestFit="1" customWidth="1"/>
    <col min="5840" max="5840" width="5.42578125" style="254" customWidth="1"/>
    <col min="5841" max="5841" width="3.7109375" style="254" bestFit="1" customWidth="1"/>
    <col min="5842" max="5842" width="9.140625" style="254" customWidth="1"/>
    <col min="5843" max="5843" width="11.28515625" style="254" bestFit="1" customWidth="1"/>
    <col min="5844" max="5844" width="10.28515625" style="254" customWidth="1"/>
    <col min="5845" max="5845" width="11.28515625" style="254" bestFit="1" customWidth="1"/>
    <col min="5846" max="5846" width="10.85546875" style="254" customWidth="1"/>
    <col min="5847" max="5847" width="11.7109375" style="254" customWidth="1"/>
    <col min="5848" max="5848" width="12.28515625" style="254" customWidth="1"/>
    <col min="5849" max="5852" width="10.140625" style="254" bestFit="1" customWidth="1"/>
    <col min="5853" max="5853" width="10.42578125" style="254" customWidth="1"/>
    <col min="5854" max="5854" width="9.85546875" style="254" customWidth="1"/>
    <col min="5855" max="5855" width="11" style="254" bestFit="1" customWidth="1"/>
    <col min="5856" max="5856" width="10.5703125" style="254" customWidth="1"/>
    <col min="5857" max="5857" width="11" style="254" bestFit="1" customWidth="1"/>
    <col min="5858" max="5858" width="9.28515625" style="254" bestFit="1" customWidth="1"/>
    <col min="5859" max="5859" width="9" style="254" customWidth="1"/>
    <col min="5860" max="5860" width="9.28515625" style="254" bestFit="1" customWidth="1"/>
    <col min="5861" max="5863" width="10.140625" style="254" bestFit="1" customWidth="1"/>
    <col min="5864" max="5864" width="11.28515625" style="254" bestFit="1" customWidth="1"/>
    <col min="5865" max="5865" width="10.85546875" style="254" customWidth="1"/>
    <col min="5866" max="5866" width="11.28515625" style="254" bestFit="1" customWidth="1"/>
    <col min="5867" max="5867" width="10.140625" style="254" bestFit="1" customWidth="1"/>
    <col min="5868" max="5868" width="7" style="254" customWidth="1"/>
    <col min="5869" max="5869" width="10.85546875" style="254" customWidth="1"/>
    <col min="5870" max="5870" width="11.7109375" style="254" customWidth="1"/>
    <col min="5871" max="5871" width="10.140625" style="254" customWidth="1"/>
    <col min="5872" max="5872" width="11" style="254" customWidth="1"/>
    <col min="5873" max="5873" width="2.5703125" style="254" customWidth="1"/>
    <col min="5874" max="5874" width="11.140625" style="254" customWidth="1"/>
    <col min="5875" max="5875" width="9.85546875" style="254" customWidth="1"/>
    <col min="5876" max="5876" width="13.42578125" style="254" customWidth="1"/>
    <col min="5877" max="5877" width="9.140625" style="254"/>
    <col min="5878" max="5878" width="16.85546875" style="254" customWidth="1"/>
    <col min="5879" max="6091" width="9.140625" style="254"/>
    <col min="6092" max="6092" width="4" style="254" customWidth="1"/>
    <col min="6093" max="6093" width="5.42578125" style="254" customWidth="1"/>
    <col min="6094" max="6094" width="49.42578125" style="254" customWidth="1"/>
    <col min="6095" max="6095" width="5" style="254" bestFit="1" customWidth="1"/>
    <col min="6096" max="6096" width="5.42578125" style="254" customWidth="1"/>
    <col min="6097" max="6097" width="3.7109375" style="254" bestFit="1" customWidth="1"/>
    <col min="6098" max="6098" width="9.140625" style="254" customWidth="1"/>
    <col min="6099" max="6099" width="11.28515625" style="254" bestFit="1" customWidth="1"/>
    <col min="6100" max="6100" width="10.28515625" style="254" customWidth="1"/>
    <col min="6101" max="6101" width="11.28515625" style="254" bestFit="1" customWidth="1"/>
    <col min="6102" max="6102" width="10.85546875" style="254" customWidth="1"/>
    <col min="6103" max="6103" width="11.7109375" style="254" customWidth="1"/>
    <col min="6104" max="6104" width="12.28515625" style="254" customWidth="1"/>
    <col min="6105" max="6108" width="10.140625" style="254" bestFit="1" customWidth="1"/>
    <col min="6109" max="6109" width="10.42578125" style="254" customWidth="1"/>
    <col min="6110" max="6110" width="9.85546875" style="254" customWidth="1"/>
    <col min="6111" max="6111" width="11" style="254" bestFit="1" customWidth="1"/>
    <col min="6112" max="6112" width="10.5703125" style="254" customWidth="1"/>
    <col min="6113" max="6113" width="11" style="254" bestFit="1" customWidth="1"/>
    <col min="6114" max="6114" width="9.28515625" style="254" bestFit="1" customWidth="1"/>
    <col min="6115" max="6115" width="9" style="254" customWidth="1"/>
    <col min="6116" max="6116" width="9.28515625" style="254" bestFit="1" customWidth="1"/>
    <col min="6117" max="6119" width="10.140625" style="254" bestFit="1" customWidth="1"/>
    <col min="6120" max="6120" width="11.28515625" style="254" bestFit="1" customWidth="1"/>
    <col min="6121" max="6121" width="10.85546875" style="254" customWidth="1"/>
    <col min="6122" max="6122" width="11.28515625" style="254" bestFit="1" customWidth="1"/>
    <col min="6123" max="6123" width="10.140625" style="254" bestFit="1" customWidth="1"/>
    <col min="6124" max="6124" width="7" style="254" customWidth="1"/>
    <col min="6125" max="6125" width="10.85546875" style="254" customWidth="1"/>
    <col min="6126" max="6126" width="11.7109375" style="254" customWidth="1"/>
    <col min="6127" max="6127" width="10.140625" style="254" customWidth="1"/>
    <col min="6128" max="6128" width="11" style="254" customWidth="1"/>
    <col min="6129" max="6129" width="2.5703125" style="254" customWidth="1"/>
    <col min="6130" max="6130" width="11.140625" style="254" customWidth="1"/>
    <col min="6131" max="6131" width="9.85546875" style="254" customWidth="1"/>
    <col min="6132" max="6132" width="13.42578125" style="254" customWidth="1"/>
    <col min="6133" max="6133" width="9.140625" style="254"/>
    <col min="6134" max="6134" width="16.85546875" style="254" customWidth="1"/>
    <col min="6135" max="6347" width="9.140625" style="254"/>
    <col min="6348" max="6348" width="4" style="254" customWidth="1"/>
    <col min="6349" max="6349" width="5.42578125" style="254" customWidth="1"/>
    <col min="6350" max="6350" width="49.42578125" style="254" customWidth="1"/>
    <col min="6351" max="6351" width="5" style="254" bestFit="1" customWidth="1"/>
    <col min="6352" max="6352" width="5.42578125" style="254" customWidth="1"/>
    <col min="6353" max="6353" width="3.7109375" style="254" bestFit="1" customWidth="1"/>
    <col min="6354" max="6354" width="9.140625" style="254" customWidth="1"/>
    <col min="6355" max="6355" width="11.28515625" style="254" bestFit="1" customWidth="1"/>
    <col min="6356" max="6356" width="10.28515625" style="254" customWidth="1"/>
    <col min="6357" max="6357" width="11.28515625" style="254" bestFit="1" customWidth="1"/>
    <col min="6358" max="6358" width="10.85546875" style="254" customWidth="1"/>
    <col min="6359" max="6359" width="11.7109375" style="254" customWidth="1"/>
    <col min="6360" max="6360" width="12.28515625" style="254" customWidth="1"/>
    <col min="6361" max="6364" width="10.140625" style="254" bestFit="1" customWidth="1"/>
    <col min="6365" max="6365" width="10.42578125" style="254" customWidth="1"/>
    <col min="6366" max="6366" width="9.85546875" style="254" customWidth="1"/>
    <col min="6367" max="6367" width="11" style="254" bestFit="1" customWidth="1"/>
    <col min="6368" max="6368" width="10.5703125" style="254" customWidth="1"/>
    <col min="6369" max="6369" width="11" style="254" bestFit="1" customWidth="1"/>
    <col min="6370" max="6370" width="9.28515625" style="254" bestFit="1" customWidth="1"/>
    <col min="6371" max="6371" width="9" style="254" customWidth="1"/>
    <col min="6372" max="6372" width="9.28515625" style="254" bestFit="1" customWidth="1"/>
    <col min="6373" max="6375" width="10.140625" style="254" bestFit="1" customWidth="1"/>
    <col min="6376" max="6376" width="11.28515625" style="254" bestFit="1" customWidth="1"/>
    <col min="6377" max="6377" width="10.85546875" style="254" customWidth="1"/>
    <col min="6378" max="6378" width="11.28515625" style="254" bestFit="1" customWidth="1"/>
    <col min="6379" max="6379" width="10.140625" style="254" bestFit="1" customWidth="1"/>
    <col min="6380" max="6380" width="7" style="254" customWidth="1"/>
    <col min="6381" max="6381" width="10.85546875" style="254" customWidth="1"/>
    <col min="6382" max="6382" width="11.7109375" style="254" customWidth="1"/>
    <col min="6383" max="6383" width="10.140625" style="254" customWidth="1"/>
    <col min="6384" max="6384" width="11" style="254" customWidth="1"/>
    <col min="6385" max="6385" width="2.5703125" style="254" customWidth="1"/>
    <col min="6386" max="6386" width="11.140625" style="254" customWidth="1"/>
    <col min="6387" max="6387" width="9.85546875" style="254" customWidth="1"/>
    <col min="6388" max="6388" width="13.42578125" style="254" customWidth="1"/>
    <col min="6389" max="6389" width="9.140625" style="254"/>
    <col min="6390" max="6390" width="16.85546875" style="254" customWidth="1"/>
    <col min="6391" max="6603" width="9.140625" style="254"/>
    <col min="6604" max="6604" width="4" style="254" customWidth="1"/>
    <col min="6605" max="6605" width="5.42578125" style="254" customWidth="1"/>
    <col min="6606" max="6606" width="49.42578125" style="254" customWidth="1"/>
    <col min="6607" max="6607" width="5" style="254" bestFit="1" customWidth="1"/>
    <col min="6608" max="6608" width="5.42578125" style="254" customWidth="1"/>
    <col min="6609" max="6609" width="3.7109375" style="254" bestFit="1" customWidth="1"/>
    <col min="6610" max="6610" width="9.140625" style="254" customWidth="1"/>
    <col min="6611" max="6611" width="11.28515625" style="254" bestFit="1" customWidth="1"/>
    <col min="6612" max="6612" width="10.28515625" style="254" customWidth="1"/>
    <col min="6613" max="6613" width="11.28515625" style="254" bestFit="1" customWidth="1"/>
    <col min="6614" max="6614" width="10.85546875" style="254" customWidth="1"/>
    <col min="6615" max="6615" width="11.7109375" style="254" customWidth="1"/>
    <col min="6616" max="6616" width="12.28515625" style="254" customWidth="1"/>
    <col min="6617" max="6620" width="10.140625" style="254" bestFit="1" customWidth="1"/>
    <col min="6621" max="6621" width="10.42578125" style="254" customWidth="1"/>
    <col min="6622" max="6622" width="9.85546875" style="254" customWidth="1"/>
    <col min="6623" max="6623" width="11" style="254" bestFit="1" customWidth="1"/>
    <col min="6624" max="6624" width="10.5703125" style="254" customWidth="1"/>
    <col min="6625" max="6625" width="11" style="254" bestFit="1" customWidth="1"/>
    <col min="6626" max="6626" width="9.28515625" style="254" bestFit="1" customWidth="1"/>
    <col min="6627" max="6627" width="9" style="254" customWidth="1"/>
    <col min="6628" max="6628" width="9.28515625" style="254" bestFit="1" customWidth="1"/>
    <col min="6629" max="6631" width="10.140625" style="254" bestFit="1" customWidth="1"/>
    <col min="6632" max="6632" width="11.28515625" style="254" bestFit="1" customWidth="1"/>
    <col min="6633" max="6633" width="10.85546875" style="254" customWidth="1"/>
    <col min="6634" max="6634" width="11.28515625" style="254" bestFit="1" customWidth="1"/>
    <col min="6635" max="6635" width="10.140625" style="254" bestFit="1" customWidth="1"/>
    <col min="6636" max="6636" width="7" style="254" customWidth="1"/>
    <col min="6637" max="6637" width="10.85546875" style="254" customWidth="1"/>
    <col min="6638" max="6638" width="11.7109375" style="254" customWidth="1"/>
    <col min="6639" max="6639" width="10.140625" style="254" customWidth="1"/>
    <col min="6640" max="6640" width="11" style="254" customWidth="1"/>
    <col min="6641" max="6641" width="2.5703125" style="254" customWidth="1"/>
    <col min="6642" max="6642" width="11.140625" style="254" customWidth="1"/>
    <col min="6643" max="6643" width="9.85546875" style="254" customWidth="1"/>
    <col min="6644" max="6644" width="13.42578125" style="254" customWidth="1"/>
    <col min="6645" max="6645" width="9.140625" style="254"/>
    <col min="6646" max="6646" width="16.85546875" style="254" customWidth="1"/>
    <col min="6647" max="6859" width="9.140625" style="254"/>
    <col min="6860" max="6860" width="4" style="254" customWidth="1"/>
    <col min="6861" max="6861" width="5.42578125" style="254" customWidth="1"/>
    <col min="6862" max="6862" width="49.42578125" style="254" customWidth="1"/>
    <col min="6863" max="6863" width="5" style="254" bestFit="1" customWidth="1"/>
    <col min="6864" max="6864" width="5.42578125" style="254" customWidth="1"/>
    <col min="6865" max="6865" width="3.7109375" style="254" bestFit="1" customWidth="1"/>
    <col min="6866" max="6866" width="9.140625" style="254" customWidth="1"/>
    <col min="6867" max="6867" width="11.28515625" style="254" bestFit="1" customWidth="1"/>
    <col min="6868" max="6868" width="10.28515625" style="254" customWidth="1"/>
    <col min="6869" max="6869" width="11.28515625" style="254" bestFit="1" customWidth="1"/>
    <col min="6870" max="6870" width="10.85546875" style="254" customWidth="1"/>
    <col min="6871" max="6871" width="11.7109375" style="254" customWidth="1"/>
    <col min="6872" max="6872" width="12.28515625" style="254" customWidth="1"/>
    <col min="6873" max="6876" width="10.140625" style="254" bestFit="1" customWidth="1"/>
    <col min="6877" max="6877" width="10.42578125" style="254" customWidth="1"/>
    <col min="6878" max="6878" width="9.85546875" style="254" customWidth="1"/>
    <col min="6879" max="6879" width="11" style="254" bestFit="1" customWidth="1"/>
    <col min="6880" max="6880" width="10.5703125" style="254" customWidth="1"/>
    <col min="6881" max="6881" width="11" style="254" bestFit="1" customWidth="1"/>
    <col min="6882" max="6882" width="9.28515625" style="254" bestFit="1" customWidth="1"/>
    <col min="6883" max="6883" width="9" style="254" customWidth="1"/>
    <col min="6884" max="6884" width="9.28515625" style="254" bestFit="1" customWidth="1"/>
    <col min="6885" max="6887" width="10.140625" style="254" bestFit="1" customWidth="1"/>
    <col min="6888" max="6888" width="11.28515625" style="254" bestFit="1" customWidth="1"/>
    <col min="6889" max="6889" width="10.85546875" style="254" customWidth="1"/>
    <col min="6890" max="6890" width="11.28515625" style="254" bestFit="1" customWidth="1"/>
    <col min="6891" max="6891" width="10.140625" style="254" bestFit="1" customWidth="1"/>
    <col min="6892" max="6892" width="7" style="254" customWidth="1"/>
    <col min="6893" max="6893" width="10.85546875" style="254" customWidth="1"/>
    <col min="6894" max="6894" width="11.7109375" style="254" customWidth="1"/>
    <col min="6895" max="6895" width="10.140625" style="254" customWidth="1"/>
    <col min="6896" max="6896" width="11" style="254" customWidth="1"/>
    <col min="6897" max="6897" width="2.5703125" style="254" customWidth="1"/>
    <col min="6898" max="6898" width="11.140625" style="254" customWidth="1"/>
    <col min="6899" max="6899" width="9.85546875" style="254" customWidth="1"/>
    <col min="6900" max="6900" width="13.42578125" style="254" customWidth="1"/>
    <col min="6901" max="6901" width="9.140625" style="254"/>
    <col min="6902" max="6902" width="16.85546875" style="254" customWidth="1"/>
    <col min="6903" max="7115" width="9.140625" style="254"/>
    <col min="7116" max="7116" width="4" style="254" customWidth="1"/>
    <col min="7117" max="7117" width="5.42578125" style="254" customWidth="1"/>
    <col min="7118" max="7118" width="49.42578125" style="254" customWidth="1"/>
    <col min="7119" max="7119" width="5" style="254" bestFit="1" customWidth="1"/>
    <col min="7120" max="7120" width="5.42578125" style="254" customWidth="1"/>
    <col min="7121" max="7121" width="3.7109375" style="254" bestFit="1" customWidth="1"/>
    <col min="7122" max="7122" width="9.140625" style="254" customWidth="1"/>
    <col min="7123" max="7123" width="11.28515625" style="254" bestFit="1" customWidth="1"/>
    <col min="7124" max="7124" width="10.28515625" style="254" customWidth="1"/>
    <col min="7125" max="7125" width="11.28515625" style="254" bestFit="1" customWidth="1"/>
    <col min="7126" max="7126" width="10.85546875" style="254" customWidth="1"/>
    <col min="7127" max="7127" width="11.7109375" style="254" customWidth="1"/>
    <col min="7128" max="7128" width="12.28515625" style="254" customWidth="1"/>
    <col min="7129" max="7132" width="10.140625" style="254" bestFit="1" customWidth="1"/>
    <col min="7133" max="7133" width="10.42578125" style="254" customWidth="1"/>
    <col min="7134" max="7134" width="9.85546875" style="254" customWidth="1"/>
    <col min="7135" max="7135" width="11" style="254" bestFit="1" customWidth="1"/>
    <col min="7136" max="7136" width="10.5703125" style="254" customWidth="1"/>
    <col min="7137" max="7137" width="11" style="254" bestFit="1" customWidth="1"/>
    <col min="7138" max="7138" width="9.28515625" style="254" bestFit="1" customWidth="1"/>
    <col min="7139" max="7139" width="9" style="254" customWidth="1"/>
    <col min="7140" max="7140" width="9.28515625" style="254" bestFit="1" customWidth="1"/>
    <col min="7141" max="7143" width="10.140625" style="254" bestFit="1" customWidth="1"/>
    <col min="7144" max="7144" width="11.28515625" style="254" bestFit="1" customWidth="1"/>
    <col min="7145" max="7145" width="10.85546875" style="254" customWidth="1"/>
    <col min="7146" max="7146" width="11.28515625" style="254" bestFit="1" customWidth="1"/>
    <col min="7147" max="7147" width="10.140625" style="254" bestFit="1" customWidth="1"/>
    <col min="7148" max="7148" width="7" style="254" customWidth="1"/>
    <col min="7149" max="7149" width="10.85546875" style="254" customWidth="1"/>
    <col min="7150" max="7150" width="11.7109375" style="254" customWidth="1"/>
    <col min="7151" max="7151" width="10.140625" style="254" customWidth="1"/>
    <col min="7152" max="7152" width="11" style="254" customWidth="1"/>
    <col min="7153" max="7153" width="2.5703125" style="254" customWidth="1"/>
    <col min="7154" max="7154" width="11.140625" style="254" customWidth="1"/>
    <col min="7155" max="7155" width="9.85546875" style="254" customWidth="1"/>
    <col min="7156" max="7156" width="13.42578125" style="254" customWidth="1"/>
    <col min="7157" max="7157" width="9.140625" style="254"/>
    <col min="7158" max="7158" width="16.85546875" style="254" customWidth="1"/>
    <col min="7159" max="7371" width="9.140625" style="254"/>
    <col min="7372" max="7372" width="4" style="254" customWidth="1"/>
    <col min="7373" max="7373" width="5.42578125" style="254" customWidth="1"/>
    <col min="7374" max="7374" width="49.42578125" style="254" customWidth="1"/>
    <col min="7375" max="7375" width="5" style="254" bestFit="1" customWidth="1"/>
    <col min="7376" max="7376" width="5.42578125" style="254" customWidth="1"/>
    <col min="7377" max="7377" width="3.7109375" style="254" bestFit="1" customWidth="1"/>
    <col min="7378" max="7378" width="9.140625" style="254" customWidth="1"/>
    <col min="7379" max="7379" width="11.28515625" style="254" bestFit="1" customWidth="1"/>
    <col min="7380" max="7380" width="10.28515625" style="254" customWidth="1"/>
    <col min="7381" max="7381" width="11.28515625" style="254" bestFit="1" customWidth="1"/>
    <col min="7382" max="7382" width="10.85546875" style="254" customWidth="1"/>
    <col min="7383" max="7383" width="11.7109375" style="254" customWidth="1"/>
    <col min="7384" max="7384" width="12.28515625" style="254" customWidth="1"/>
    <col min="7385" max="7388" width="10.140625" style="254" bestFit="1" customWidth="1"/>
    <col min="7389" max="7389" width="10.42578125" style="254" customWidth="1"/>
    <col min="7390" max="7390" width="9.85546875" style="254" customWidth="1"/>
    <col min="7391" max="7391" width="11" style="254" bestFit="1" customWidth="1"/>
    <col min="7392" max="7392" width="10.5703125" style="254" customWidth="1"/>
    <col min="7393" max="7393" width="11" style="254" bestFit="1" customWidth="1"/>
    <col min="7394" max="7394" width="9.28515625" style="254" bestFit="1" customWidth="1"/>
    <col min="7395" max="7395" width="9" style="254" customWidth="1"/>
    <col min="7396" max="7396" width="9.28515625" style="254" bestFit="1" customWidth="1"/>
    <col min="7397" max="7399" width="10.140625" style="254" bestFit="1" customWidth="1"/>
    <col min="7400" max="7400" width="11.28515625" style="254" bestFit="1" customWidth="1"/>
    <col min="7401" max="7401" width="10.85546875" style="254" customWidth="1"/>
    <col min="7402" max="7402" width="11.28515625" style="254" bestFit="1" customWidth="1"/>
    <col min="7403" max="7403" width="10.140625" style="254" bestFit="1" customWidth="1"/>
    <col min="7404" max="7404" width="7" style="254" customWidth="1"/>
    <col min="7405" max="7405" width="10.85546875" style="254" customWidth="1"/>
    <col min="7406" max="7406" width="11.7109375" style="254" customWidth="1"/>
    <col min="7407" max="7407" width="10.140625" style="254" customWidth="1"/>
    <col min="7408" max="7408" width="11" style="254" customWidth="1"/>
    <col min="7409" max="7409" width="2.5703125" style="254" customWidth="1"/>
    <col min="7410" max="7410" width="11.140625" style="254" customWidth="1"/>
    <col min="7411" max="7411" width="9.85546875" style="254" customWidth="1"/>
    <col min="7412" max="7412" width="13.42578125" style="254" customWidth="1"/>
    <col min="7413" max="7413" width="9.140625" style="254"/>
    <col min="7414" max="7414" width="16.85546875" style="254" customWidth="1"/>
    <col min="7415" max="7627" width="9.140625" style="254"/>
    <col min="7628" max="7628" width="4" style="254" customWidth="1"/>
    <col min="7629" max="7629" width="5.42578125" style="254" customWidth="1"/>
    <col min="7630" max="7630" width="49.42578125" style="254" customWidth="1"/>
    <col min="7631" max="7631" width="5" style="254" bestFit="1" customWidth="1"/>
    <col min="7632" max="7632" width="5.42578125" style="254" customWidth="1"/>
    <col min="7633" max="7633" width="3.7109375" style="254" bestFit="1" customWidth="1"/>
    <col min="7634" max="7634" width="9.140625" style="254" customWidth="1"/>
    <col min="7635" max="7635" width="11.28515625" style="254" bestFit="1" customWidth="1"/>
    <col min="7636" max="7636" width="10.28515625" style="254" customWidth="1"/>
    <col min="7637" max="7637" width="11.28515625" style="254" bestFit="1" customWidth="1"/>
    <col min="7638" max="7638" width="10.85546875" style="254" customWidth="1"/>
    <col min="7639" max="7639" width="11.7109375" style="254" customWidth="1"/>
    <col min="7640" max="7640" width="12.28515625" style="254" customWidth="1"/>
    <col min="7641" max="7644" width="10.140625" style="254" bestFit="1" customWidth="1"/>
    <col min="7645" max="7645" width="10.42578125" style="254" customWidth="1"/>
    <col min="7646" max="7646" width="9.85546875" style="254" customWidth="1"/>
    <col min="7647" max="7647" width="11" style="254" bestFit="1" customWidth="1"/>
    <col min="7648" max="7648" width="10.5703125" style="254" customWidth="1"/>
    <col min="7649" max="7649" width="11" style="254" bestFit="1" customWidth="1"/>
    <col min="7650" max="7650" width="9.28515625" style="254" bestFit="1" customWidth="1"/>
    <col min="7651" max="7651" width="9" style="254" customWidth="1"/>
    <col min="7652" max="7652" width="9.28515625" style="254" bestFit="1" customWidth="1"/>
    <col min="7653" max="7655" width="10.140625" style="254" bestFit="1" customWidth="1"/>
    <col min="7656" max="7656" width="11.28515625" style="254" bestFit="1" customWidth="1"/>
    <col min="7657" max="7657" width="10.85546875" style="254" customWidth="1"/>
    <col min="7658" max="7658" width="11.28515625" style="254" bestFit="1" customWidth="1"/>
    <col min="7659" max="7659" width="10.140625" style="254" bestFit="1" customWidth="1"/>
    <col min="7660" max="7660" width="7" style="254" customWidth="1"/>
    <col min="7661" max="7661" width="10.85546875" style="254" customWidth="1"/>
    <col min="7662" max="7662" width="11.7109375" style="254" customWidth="1"/>
    <col min="7663" max="7663" width="10.140625" style="254" customWidth="1"/>
    <col min="7664" max="7664" width="11" style="254" customWidth="1"/>
    <col min="7665" max="7665" width="2.5703125" style="254" customWidth="1"/>
    <col min="7666" max="7666" width="11.140625" style="254" customWidth="1"/>
    <col min="7667" max="7667" width="9.85546875" style="254" customWidth="1"/>
    <col min="7668" max="7668" width="13.42578125" style="254" customWidth="1"/>
    <col min="7669" max="7669" width="9.140625" style="254"/>
    <col min="7670" max="7670" width="16.85546875" style="254" customWidth="1"/>
    <col min="7671" max="7883" width="9.140625" style="254"/>
    <col min="7884" max="7884" width="4" style="254" customWidth="1"/>
    <col min="7885" max="7885" width="5.42578125" style="254" customWidth="1"/>
    <col min="7886" max="7886" width="49.42578125" style="254" customWidth="1"/>
    <col min="7887" max="7887" width="5" style="254" bestFit="1" customWidth="1"/>
    <col min="7888" max="7888" width="5.42578125" style="254" customWidth="1"/>
    <col min="7889" max="7889" width="3.7109375" style="254" bestFit="1" customWidth="1"/>
    <col min="7890" max="7890" width="9.140625" style="254" customWidth="1"/>
    <col min="7891" max="7891" width="11.28515625" style="254" bestFit="1" customWidth="1"/>
    <col min="7892" max="7892" width="10.28515625" style="254" customWidth="1"/>
    <col min="7893" max="7893" width="11.28515625" style="254" bestFit="1" customWidth="1"/>
    <col min="7894" max="7894" width="10.85546875" style="254" customWidth="1"/>
    <col min="7895" max="7895" width="11.7109375" style="254" customWidth="1"/>
    <col min="7896" max="7896" width="12.28515625" style="254" customWidth="1"/>
    <col min="7897" max="7900" width="10.140625" style="254" bestFit="1" customWidth="1"/>
    <col min="7901" max="7901" width="10.42578125" style="254" customWidth="1"/>
    <col min="7902" max="7902" width="9.85546875" style="254" customWidth="1"/>
    <col min="7903" max="7903" width="11" style="254" bestFit="1" customWidth="1"/>
    <col min="7904" max="7904" width="10.5703125" style="254" customWidth="1"/>
    <col min="7905" max="7905" width="11" style="254" bestFit="1" customWidth="1"/>
    <col min="7906" max="7906" width="9.28515625" style="254" bestFit="1" customWidth="1"/>
    <col min="7907" max="7907" width="9" style="254" customWidth="1"/>
    <col min="7908" max="7908" width="9.28515625" style="254" bestFit="1" customWidth="1"/>
    <col min="7909" max="7911" width="10.140625" style="254" bestFit="1" customWidth="1"/>
    <col min="7912" max="7912" width="11.28515625" style="254" bestFit="1" customWidth="1"/>
    <col min="7913" max="7913" width="10.85546875" style="254" customWidth="1"/>
    <col min="7914" max="7914" width="11.28515625" style="254" bestFit="1" customWidth="1"/>
    <col min="7915" max="7915" width="10.140625" style="254" bestFit="1" customWidth="1"/>
    <col min="7916" max="7916" width="7" style="254" customWidth="1"/>
    <col min="7917" max="7917" width="10.85546875" style="254" customWidth="1"/>
    <col min="7918" max="7918" width="11.7109375" style="254" customWidth="1"/>
    <col min="7919" max="7919" width="10.140625" style="254" customWidth="1"/>
    <col min="7920" max="7920" width="11" style="254" customWidth="1"/>
    <col min="7921" max="7921" width="2.5703125" style="254" customWidth="1"/>
    <col min="7922" max="7922" width="11.140625" style="254" customWidth="1"/>
    <col min="7923" max="7923" width="9.85546875" style="254" customWidth="1"/>
    <col min="7924" max="7924" width="13.42578125" style="254" customWidth="1"/>
    <col min="7925" max="7925" width="9.140625" style="254"/>
    <col min="7926" max="7926" width="16.85546875" style="254" customWidth="1"/>
    <col min="7927" max="8139" width="9.140625" style="254"/>
    <col min="8140" max="8140" width="4" style="254" customWidth="1"/>
    <col min="8141" max="8141" width="5.42578125" style="254" customWidth="1"/>
    <col min="8142" max="8142" width="49.42578125" style="254" customWidth="1"/>
    <col min="8143" max="8143" width="5" style="254" bestFit="1" customWidth="1"/>
    <col min="8144" max="8144" width="5.42578125" style="254" customWidth="1"/>
    <col min="8145" max="8145" width="3.7109375" style="254" bestFit="1" customWidth="1"/>
    <col min="8146" max="8146" width="9.140625" style="254" customWidth="1"/>
    <col min="8147" max="8147" width="11.28515625" style="254" bestFit="1" customWidth="1"/>
    <col min="8148" max="8148" width="10.28515625" style="254" customWidth="1"/>
    <col min="8149" max="8149" width="11.28515625" style="254" bestFit="1" customWidth="1"/>
    <col min="8150" max="8150" width="10.85546875" style="254" customWidth="1"/>
    <col min="8151" max="8151" width="11.7109375" style="254" customWidth="1"/>
    <col min="8152" max="8152" width="12.28515625" style="254" customWidth="1"/>
    <col min="8153" max="8156" width="10.140625" style="254" bestFit="1" customWidth="1"/>
    <col min="8157" max="8157" width="10.42578125" style="254" customWidth="1"/>
    <col min="8158" max="8158" width="9.85546875" style="254" customWidth="1"/>
    <col min="8159" max="8159" width="11" style="254" bestFit="1" customWidth="1"/>
    <col min="8160" max="8160" width="10.5703125" style="254" customWidth="1"/>
    <col min="8161" max="8161" width="11" style="254" bestFit="1" customWidth="1"/>
    <col min="8162" max="8162" width="9.28515625" style="254" bestFit="1" customWidth="1"/>
    <col min="8163" max="8163" width="9" style="254" customWidth="1"/>
    <col min="8164" max="8164" width="9.28515625" style="254" bestFit="1" customWidth="1"/>
    <col min="8165" max="8167" width="10.140625" style="254" bestFit="1" customWidth="1"/>
    <col min="8168" max="8168" width="11.28515625" style="254" bestFit="1" customWidth="1"/>
    <col min="8169" max="8169" width="10.85546875" style="254" customWidth="1"/>
    <col min="8170" max="8170" width="11.28515625" style="254" bestFit="1" customWidth="1"/>
    <col min="8171" max="8171" width="10.140625" style="254" bestFit="1" customWidth="1"/>
    <col min="8172" max="8172" width="7" style="254" customWidth="1"/>
    <col min="8173" max="8173" width="10.85546875" style="254" customWidth="1"/>
    <col min="8174" max="8174" width="11.7109375" style="254" customWidth="1"/>
    <col min="8175" max="8175" width="10.140625" style="254" customWidth="1"/>
    <col min="8176" max="8176" width="11" style="254" customWidth="1"/>
    <col min="8177" max="8177" width="2.5703125" style="254" customWidth="1"/>
    <col min="8178" max="8178" width="11.140625" style="254" customWidth="1"/>
    <col min="8179" max="8179" width="9.85546875" style="254" customWidth="1"/>
    <col min="8180" max="8180" width="13.42578125" style="254" customWidth="1"/>
    <col min="8181" max="8181" width="9.140625" style="254"/>
    <col min="8182" max="8182" width="16.85546875" style="254" customWidth="1"/>
    <col min="8183" max="8395" width="9.140625" style="254"/>
    <col min="8396" max="8396" width="4" style="254" customWidth="1"/>
    <col min="8397" max="8397" width="5.42578125" style="254" customWidth="1"/>
    <col min="8398" max="8398" width="49.42578125" style="254" customWidth="1"/>
    <col min="8399" max="8399" width="5" style="254" bestFit="1" customWidth="1"/>
    <col min="8400" max="8400" width="5.42578125" style="254" customWidth="1"/>
    <col min="8401" max="8401" width="3.7109375" style="254" bestFit="1" customWidth="1"/>
    <col min="8402" max="8402" width="9.140625" style="254" customWidth="1"/>
    <col min="8403" max="8403" width="11.28515625" style="254" bestFit="1" customWidth="1"/>
    <col min="8404" max="8404" width="10.28515625" style="254" customWidth="1"/>
    <col min="8405" max="8405" width="11.28515625" style="254" bestFit="1" customWidth="1"/>
    <col min="8406" max="8406" width="10.85546875" style="254" customWidth="1"/>
    <col min="8407" max="8407" width="11.7109375" style="254" customWidth="1"/>
    <col min="8408" max="8408" width="12.28515625" style="254" customWidth="1"/>
    <col min="8409" max="8412" width="10.140625" style="254" bestFit="1" customWidth="1"/>
    <col min="8413" max="8413" width="10.42578125" style="254" customWidth="1"/>
    <col min="8414" max="8414" width="9.85546875" style="254" customWidth="1"/>
    <col min="8415" max="8415" width="11" style="254" bestFit="1" customWidth="1"/>
    <col min="8416" max="8416" width="10.5703125" style="254" customWidth="1"/>
    <col min="8417" max="8417" width="11" style="254" bestFit="1" customWidth="1"/>
    <col min="8418" max="8418" width="9.28515625" style="254" bestFit="1" customWidth="1"/>
    <col min="8419" max="8419" width="9" style="254" customWidth="1"/>
    <col min="8420" max="8420" width="9.28515625" style="254" bestFit="1" customWidth="1"/>
    <col min="8421" max="8423" width="10.140625" style="254" bestFit="1" customWidth="1"/>
    <col min="8424" max="8424" width="11.28515625" style="254" bestFit="1" customWidth="1"/>
    <col min="8425" max="8425" width="10.85546875" style="254" customWidth="1"/>
    <col min="8426" max="8426" width="11.28515625" style="254" bestFit="1" customWidth="1"/>
    <col min="8427" max="8427" width="10.140625" style="254" bestFit="1" customWidth="1"/>
    <col min="8428" max="8428" width="7" style="254" customWidth="1"/>
    <col min="8429" max="8429" width="10.85546875" style="254" customWidth="1"/>
    <col min="8430" max="8430" width="11.7109375" style="254" customWidth="1"/>
    <col min="8431" max="8431" width="10.140625" style="254" customWidth="1"/>
    <col min="8432" max="8432" width="11" style="254" customWidth="1"/>
    <col min="8433" max="8433" width="2.5703125" style="254" customWidth="1"/>
    <col min="8434" max="8434" width="11.140625" style="254" customWidth="1"/>
    <col min="8435" max="8435" width="9.85546875" style="254" customWidth="1"/>
    <col min="8436" max="8436" width="13.42578125" style="254" customWidth="1"/>
    <col min="8437" max="8437" width="9.140625" style="254"/>
    <col min="8438" max="8438" width="16.85546875" style="254" customWidth="1"/>
    <col min="8439" max="8651" width="9.140625" style="254"/>
    <col min="8652" max="8652" width="4" style="254" customWidth="1"/>
    <col min="8653" max="8653" width="5.42578125" style="254" customWidth="1"/>
    <col min="8654" max="8654" width="49.42578125" style="254" customWidth="1"/>
    <col min="8655" max="8655" width="5" style="254" bestFit="1" customWidth="1"/>
    <col min="8656" max="8656" width="5.42578125" style="254" customWidth="1"/>
    <col min="8657" max="8657" width="3.7109375" style="254" bestFit="1" customWidth="1"/>
    <col min="8658" max="8658" width="9.140625" style="254" customWidth="1"/>
    <col min="8659" max="8659" width="11.28515625" style="254" bestFit="1" customWidth="1"/>
    <col min="8660" max="8660" width="10.28515625" style="254" customWidth="1"/>
    <col min="8661" max="8661" width="11.28515625" style="254" bestFit="1" customWidth="1"/>
    <col min="8662" max="8662" width="10.85546875" style="254" customWidth="1"/>
    <col min="8663" max="8663" width="11.7109375" style="254" customWidth="1"/>
    <col min="8664" max="8664" width="12.28515625" style="254" customWidth="1"/>
    <col min="8665" max="8668" width="10.140625" style="254" bestFit="1" customWidth="1"/>
    <col min="8669" max="8669" width="10.42578125" style="254" customWidth="1"/>
    <col min="8670" max="8670" width="9.85546875" style="254" customWidth="1"/>
    <col min="8671" max="8671" width="11" style="254" bestFit="1" customWidth="1"/>
    <col min="8672" max="8672" width="10.5703125" style="254" customWidth="1"/>
    <col min="8673" max="8673" width="11" style="254" bestFit="1" customWidth="1"/>
    <col min="8674" max="8674" width="9.28515625" style="254" bestFit="1" customWidth="1"/>
    <col min="8675" max="8675" width="9" style="254" customWidth="1"/>
    <col min="8676" max="8676" width="9.28515625" style="254" bestFit="1" customWidth="1"/>
    <col min="8677" max="8679" width="10.140625" style="254" bestFit="1" customWidth="1"/>
    <col min="8680" max="8680" width="11.28515625" style="254" bestFit="1" customWidth="1"/>
    <col min="8681" max="8681" width="10.85546875" style="254" customWidth="1"/>
    <col min="8682" max="8682" width="11.28515625" style="254" bestFit="1" customWidth="1"/>
    <col min="8683" max="8683" width="10.140625" style="254" bestFit="1" customWidth="1"/>
    <col min="8684" max="8684" width="7" style="254" customWidth="1"/>
    <col min="8685" max="8685" width="10.85546875" style="254" customWidth="1"/>
    <col min="8686" max="8686" width="11.7109375" style="254" customWidth="1"/>
    <col min="8687" max="8687" width="10.140625" style="254" customWidth="1"/>
    <col min="8688" max="8688" width="11" style="254" customWidth="1"/>
    <col min="8689" max="8689" width="2.5703125" style="254" customWidth="1"/>
    <col min="8690" max="8690" width="11.140625" style="254" customWidth="1"/>
    <col min="8691" max="8691" width="9.85546875" style="254" customWidth="1"/>
    <col min="8692" max="8692" width="13.42578125" style="254" customWidth="1"/>
    <col min="8693" max="8693" width="9.140625" style="254"/>
    <col min="8694" max="8694" width="16.85546875" style="254" customWidth="1"/>
    <col min="8695" max="8907" width="9.140625" style="254"/>
    <col min="8908" max="8908" width="4" style="254" customWidth="1"/>
    <col min="8909" max="8909" width="5.42578125" style="254" customWidth="1"/>
    <col min="8910" max="8910" width="49.42578125" style="254" customWidth="1"/>
    <col min="8911" max="8911" width="5" style="254" bestFit="1" customWidth="1"/>
    <col min="8912" max="8912" width="5.42578125" style="254" customWidth="1"/>
    <col min="8913" max="8913" width="3.7109375" style="254" bestFit="1" customWidth="1"/>
    <col min="8914" max="8914" width="9.140625" style="254" customWidth="1"/>
    <col min="8915" max="8915" width="11.28515625" style="254" bestFit="1" customWidth="1"/>
    <col min="8916" max="8916" width="10.28515625" style="254" customWidth="1"/>
    <col min="8917" max="8917" width="11.28515625" style="254" bestFit="1" customWidth="1"/>
    <col min="8918" max="8918" width="10.85546875" style="254" customWidth="1"/>
    <col min="8919" max="8919" width="11.7109375" style="254" customWidth="1"/>
    <col min="8920" max="8920" width="12.28515625" style="254" customWidth="1"/>
    <col min="8921" max="8924" width="10.140625" style="254" bestFit="1" customWidth="1"/>
    <col min="8925" max="8925" width="10.42578125" style="254" customWidth="1"/>
    <col min="8926" max="8926" width="9.85546875" style="254" customWidth="1"/>
    <col min="8927" max="8927" width="11" style="254" bestFit="1" customWidth="1"/>
    <col min="8928" max="8928" width="10.5703125" style="254" customWidth="1"/>
    <col min="8929" max="8929" width="11" style="254" bestFit="1" customWidth="1"/>
    <col min="8930" max="8930" width="9.28515625" style="254" bestFit="1" customWidth="1"/>
    <col min="8931" max="8931" width="9" style="254" customWidth="1"/>
    <col min="8932" max="8932" width="9.28515625" style="254" bestFit="1" customWidth="1"/>
    <col min="8933" max="8935" width="10.140625" style="254" bestFit="1" customWidth="1"/>
    <col min="8936" max="8936" width="11.28515625" style="254" bestFit="1" customWidth="1"/>
    <col min="8937" max="8937" width="10.85546875" style="254" customWidth="1"/>
    <col min="8938" max="8938" width="11.28515625" style="254" bestFit="1" customWidth="1"/>
    <col min="8939" max="8939" width="10.140625" style="254" bestFit="1" customWidth="1"/>
    <col min="8940" max="8940" width="7" style="254" customWidth="1"/>
    <col min="8941" max="8941" width="10.85546875" style="254" customWidth="1"/>
    <col min="8942" max="8942" width="11.7109375" style="254" customWidth="1"/>
    <col min="8943" max="8943" width="10.140625" style="254" customWidth="1"/>
    <col min="8944" max="8944" width="11" style="254" customWidth="1"/>
    <col min="8945" max="8945" width="2.5703125" style="254" customWidth="1"/>
    <col min="8946" max="8946" width="11.140625" style="254" customWidth="1"/>
    <col min="8947" max="8947" width="9.85546875" style="254" customWidth="1"/>
    <col min="8948" max="8948" width="13.42578125" style="254" customWidth="1"/>
    <col min="8949" max="8949" width="9.140625" style="254"/>
    <col min="8950" max="8950" width="16.85546875" style="254" customWidth="1"/>
    <col min="8951" max="9163" width="9.140625" style="254"/>
    <col min="9164" max="9164" width="4" style="254" customWidth="1"/>
    <col min="9165" max="9165" width="5.42578125" style="254" customWidth="1"/>
    <col min="9166" max="9166" width="49.42578125" style="254" customWidth="1"/>
    <col min="9167" max="9167" width="5" style="254" bestFit="1" customWidth="1"/>
    <col min="9168" max="9168" width="5.42578125" style="254" customWidth="1"/>
    <col min="9169" max="9169" width="3.7109375" style="254" bestFit="1" customWidth="1"/>
    <col min="9170" max="9170" width="9.140625" style="254" customWidth="1"/>
    <col min="9171" max="9171" width="11.28515625" style="254" bestFit="1" customWidth="1"/>
    <col min="9172" max="9172" width="10.28515625" style="254" customWidth="1"/>
    <col min="9173" max="9173" width="11.28515625" style="254" bestFit="1" customWidth="1"/>
    <col min="9174" max="9174" width="10.85546875" style="254" customWidth="1"/>
    <col min="9175" max="9175" width="11.7109375" style="254" customWidth="1"/>
    <col min="9176" max="9176" width="12.28515625" style="254" customWidth="1"/>
    <col min="9177" max="9180" width="10.140625" style="254" bestFit="1" customWidth="1"/>
    <col min="9181" max="9181" width="10.42578125" style="254" customWidth="1"/>
    <col min="9182" max="9182" width="9.85546875" style="254" customWidth="1"/>
    <col min="9183" max="9183" width="11" style="254" bestFit="1" customWidth="1"/>
    <col min="9184" max="9184" width="10.5703125" style="254" customWidth="1"/>
    <col min="9185" max="9185" width="11" style="254" bestFit="1" customWidth="1"/>
    <col min="9186" max="9186" width="9.28515625" style="254" bestFit="1" customWidth="1"/>
    <col min="9187" max="9187" width="9" style="254" customWidth="1"/>
    <col min="9188" max="9188" width="9.28515625" style="254" bestFit="1" customWidth="1"/>
    <col min="9189" max="9191" width="10.140625" style="254" bestFit="1" customWidth="1"/>
    <col min="9192" max="9192" width="11.28515625" style="254" bestFit="1" customWidth="1"/>
    <col min="9193" max="9193" width="10.85546875" style="254" customWidth="1"/>
    <col min="9194" max="9194" width="11.28515625" style="254" bestFit="1" customWidth="1"/>
    <col min="9195" max="9195" width="10.140625" style="254" bestFit="1" customWidth="1"/>
    <col min="9196" max="9196" width="7" style="254" customWidth="1"/>
    <col min="9197" max="9197" width="10.85546875" style="254" customWidth="1"/>
    <col min="9198" max="9198" width="11.7109375" style="254" customWidth="1"/>
    <col min="9199" max="9199" width="10.140625" style="254" customWidth="1"/>
    <col min="9200" max="9200" width="11" style="254" customWidth="1"/>
    <col min="9201" max="9201" width="2.5703125" style="254" customWidth="1"/>
    <col min="9202" max="9202" width="11.140625" style="254" customWidth="1"/>
    <col min="9203" max="9203" width="9.85546875" style="254" customWidth="1"/>
    <col min="9204" max="9204" width="13.42578125" style="254" customWidth="1"/>
    <col min="9205" max="9205" width="9.140625" style="254"/>
    <col min="9206" max="9206" width="16.85546875" style="254" customWidth="1"/>
    <col min="9207" max="9419" width="9.140625" style="254"/>
    <col min="9420" max="9420" width="4" style="254" customWidth="1"/>
    <col min="9421" max="9421" width="5.42578125" style="254" customWidth="1"/>
    <col min="9422" max="9422" width="49.42578125" style="254" customWidth="1"/>
    <col min="9423" max="9423" width="5" style="254" bestFit="1" customWidth="1"/>
    <col min="9424" max="9424" width="5.42578125" style="254" customWidth="1"/>
    <col min="9425" max="9425" width="3.7109375" style="254" bestFit="1" customWidth="1"/>
    <col min="9426" max="9426" width="9.140625" style="254" customWidth="1"/>
    <col min="9427" max="9427" width="11.28515625" style="254" bestFit="1" customWidth="1"/>
    <col min="9428" max="9428" width="10.28515625" style="254" customWidth="1"/>
    <col min="9429" max="9429" width="11.28515625" style="254" bestFit="1" customWidth="1"/>
    <col min="9430" max="9430" width="10.85546875" style="254" customWidth="1"/>
    <col min="9431" max="9431" width="11.7109375" style="254" customWidth="1"/>
    <col min="9432" max="9432" width="12.28515625" style="254" customWidth="1"/>
    <col min="9433" max="9436" width="10.140625" style="254" bestFit="1" customWidth="1"/>
    <col min="9437" max="9437" width="10.42578125" style="254" customWidth="1"/>
    <col min="9438" max="9438" width="9.85546875" style="254" customWidth="1"/>
    <col min="9439" max="9439" width="11" style="254" bestFit="1" customWidth="1"/>
    <col min="9440" max="9440" width="10.5703125" style="254" customWidth="1"/>
    <col min="9441" max="9441" width="11" style="254" bestFit="1" customWidth="1"/>
    <col min="9442" max="9442" width="9.28515625" style="254" bestFit="1" customWidth="1"/>
    <col min="9443" max="9443" width="9" style="254" customWidth="1"/>
    <col min="9444" max="9444" width="9.28515625" style="254" bestFit="1" customWidth="1"/>
    <col min="9445" max="9447" width="10.140625" style="254" bestFit="1" customWidth="1"/>
    <col min="9448" max="9448" width="11.28515625" style="254" bestFit="1" customWidth="1"/>
    <col min="9449" max="9449" width="10.85546875" style="254" customWidth="1"/>
    <col min="9450" max="9450" width="11.28515625" style="254" bestFit="1" customWidth="1"/>
    <col min="9451" max="9451" width="10.140625" style="254" bestFit="1" customWidth="1"/>
    <col min="9452" max="9452" width="7" style="254" customWidth="1"/>
    <col min="9453" max="9453" width="10.85546875" style="254" customWidth="1"/>
    <col min="9454" max="9454" width="11.7109375" style="254" customWidth="1"/>
    <col min="9455" max="9455" width="10.140625" style="254" customWidth="1"/>
    <col min="9456" max="9456" width="11" style="254" customWidth="1"/>
    <col min="9457" max="9457" width="2.5703125" style="254" customWidth="1"/>
    <col min="9458" max="9458" width="11.140625" style="254" customWidth="1"/>
    <col min="9459" max="9459" width="9.85546875" style="254" customWidth="1"/>
    <col min="9460" max="9460" width="13.42578125" style="254" customWidth="1"/>
    <col min="9461" max="9461" width="9.140625" style="254"/>
    <col min="9462" max="9462" width="16.85546875" style="254" customWidth="1"/>
    <col min="9463" max="9675" width="9.140625" style="254"/>
    <col min="9676" max="9676" width="4" style="254" customWidth="1"/>
    <col min="9677" max="9677" width="5.42578125" style="254" customWidth="1"/>
    <col min="9678" max="9678" width="49.42578125" style="254" customWidth="1"/>
    <col min="9679" max="9679" width="5" style="254" bestFit="1" customWidth="1"/>
    <col min="9680" max="9680" width="5.42578125" style="254" customWidth="1"/>
    <col min="9681" max="9681" width="3.7109375" style="254" bestFit="1" customWidth="1"/>
    <col min="9682" max="9682" width="9.140625" style="254" customWidth="1"/>
    <col min="9683" max="9683" width="11.28515625" style="254" bestFit="1" customWidth="1"/>
    <col min="9684" max="9684" width="10.28515625" style="254" customWidth="1"/>
    <col min="9685" max="9685" width="11.28515625" style="254" bestFit="1" customWidth="1"/>
    <col min="9686" max="9686" width="10.85546875" style="254" customWidth="1"/>
    <col min="9687" max="9687" width="11.7109375" style="254" customWidth="1"/>
    <col min="9688" max="9688" width="12.28515625" style="254" customWidth="1"/>
    <col min="9689" max="9692" width="10.140625" style="254" bestFit="1" customWidth="1"/>
    <col min="9693" max="9693" width="10.42578125" style="254" customWidth="1"/>
    <col min="9694" max="9694" width="9.85546875" style="254" customWidth="1"/>
    <col min="9695" max="9695" width="11" style="254" bestFit="1" customWidth="1"/>
    <col min="9696" max="9696" width="10.5703125" style="254" customWidth="1"/>
    <col min="9697" max="9697" width="11" style="254" bestFit="1" customWidth="1"/>
    <col min="9698" max="9698" width="9.28515625" style="254" bestFit="1" customWidth="1"/>
    <col min="9699" max="9699" width="9" style="254" customWidth="1"/>
    <col min="9700" max="9700" width="9.28515625" style="254" bestFit="1" customWidth="1"/>
    <col min="9701" max="9703" width="10.140625" style="254" bestFit="1" customWidth="1"/>
    <col min="9704" max="9704" width="11.28515625" style="254" bestFit="1" customWidth="1"/>
    <col min="9705" max="9705" width="10.85546875" style="254" customWidth="1"/>
    <col min="9706" max="9706" width="11.28515625" style="254" bestFit="1" customWidth="1"/>
    <col min="9707" max="9707" width="10.140625" style="254" bestFit="1" customWidth="1"/>
    <col min="9708" max="9708" width="7" style="254" customWidth="1"/>
    <col min="9709" max="9709" width="10.85546875" style="254" customWidth="1"/>
    <col min="9710" max="9710" width="11.7109375" style="254" customWidth="1"/>
    <col min="9711" max="9711" width="10.140625" style="254" customWidth="1"/>
    <col min="9712" max="9712" width="11" style="254" customWidth="1"/>
    <col min="9713" max="9713" width="2.5703125" style="254" customWidth="1"/>
    <col min="9714" max="9714" width="11.140625" style="254" customWidth="1"/>
    <col min="9715" max="9715" width="9.85546875" style="254" customWidth="1"/>
    <col min="9716" max="9716" width="13.42578125" style="254" customWidth="1"/>
    <col min="9717" max="9717" width="9.140625" style="254"/>
    <col min="9718" max="9718" width="16.85546875" style="254" customWidth="1"/>
    <col min="9719" max="9931" width="9.140625" style="254"/>
    <col min="9932" max="9932" width="4" style="254" customWidth="1"/>
    <col min="9933" max="9933" width="5.42578125" style="254" customWidth="1"/>
    <col min="9934" max="9934" width="49.42578125" style="254" customWidth="1"/>
    <col min="9935" max="9935" width="5" style="254" bestFit="1" customWidth="1"/>
    <col min="9936" max="9936" width="5.42578125" style="254" customWidth="1"/>
    <col min="9937" max="9937" width="3.7109375" style="254" bestFit="1" customWidth="1"/>
    <col min="9938" max="9938" width="9.140625" style="254" customWidth="1"/>
    <col min="9939" max="9939" width="11.28515625" style="254" bestFit="1" customWidth="1"/>
    <col min="9940" max="9940" width="10.28515625" style="254" customWidth="1"/>
    <col min="9941" max="9941" width="11.28515625" style="254" bestFit="1" customWidth="1"/>
    <col min="9942" max="9942" width="10.85546875" style="254" customWidth="1"/>
    <col min="9943" max="9943" width="11.7109375" style="254" customWidth="1"/>
    <col min="9944" max="9944" width="12.28515625" style="254" customWidth="1"/>
    <col min="9945" max="9948" width="10.140625" style="254" bestFit="1" customWidth="1"/>
    <col min="9949" max="9949" width="10.42578125" style="254" customWidth="1"/>
    <col min="9950" max="9950" width="9.85546875" style="254" customWidth="1"/>
    <col min="9951" max="9951" width="11" style="254" bestFit="1" customWidth="1"/>
    <col min="9952" max="9952" width="10.5703125" style="254" customWidth="1"/>
    <col min="9953" max="9953" width="11" style="254" bestFit="1" customWidth="1"/>
    <col min="9954" max="9954" width="9.28515625" style="254" bestFit="1" customWidth="1"/>
    <col min="9955" max="9955" width="9" style="254" customWidth="1"/>
    <col min="9956" max="9956" width="9.28515625" style="254" bestFit="1" customWidth="1"/>
    <col min="9957" max="9959" width="10.140625" style="254" bestFit="1" customWidth="1"/>
    <col min="9960" max="9960" width="11.28515625" style="254" bestFit="1" customWidth="1"/>
    <col min="9961" max="9961" width="10.85546875" style="254" customWidth="1"/>
    <col min="9962" max="9962" width="11.28515625" style="254" bestFit="1" customWidth="1"/>
    <col min="9963" max="9963" width="10.140625" style="254" bestFit="1" customWidth="1"/>
    <col min="9964" max="9964" width="7" style="254" customWidth="1"/>
    <col min="9965" max="9965" width="10.85546875" style="254" customWidth="1"/>
    <col min="9966" max="9966" width="11.7109375" style="254" customWidth="1"/>
    <col min="9967" max="9967" width="10.140625" style="254" customWidth="1"/>
    <col min="9968" max="9968" width="11" style="254" customWidth="1"/>
    <col min="9969" max="9969" width="2.5703125" style="254" customWidth="1"/>
    <col min="9970" max="9970" width="11.140625" style="254" customWidth="1"/>
    <col min="9971" max="9971" width="9.85546875" style="254" customWidth="1"/>
    <col min="9972" max="9972" width="13.42578125" style="254" customWidth="1"/>
    <col min="9973" max="9973" width="9.140625" style="254"/>
    <col min="9974" max="9974" width="16.85546875" style="254" customWidth="1"/>
    <col min="9975" max="10187" width="9.140625" style="254"/>
    <col min="10188" max="10188" width="4" style="254" customWidth="1"/>
    <col min="10189" max="10189" width="5.42578125" style="254" customWidth="1"/>
    <col min="10190" max="10190" width="49.42578125" style="254" customWidth="1"/>
    <col min="10191" max="10191" width="5" style="254" bestFit="1" customWidth="1"/>
    <col min="10192" max="10192" width="5.42578125" style="254" customWidth="1"/>
    <col min="10193" max="10193" width="3.7109375" style="254" bestFit="1" customWidth="1"/>
    <col min="10194" max="10194" width="9.140625" style="254" customWidth="1"/>
    <col min="10195" max="10195" width="11.28515625" style="254" bestFit="1" customWidth="1"/>
    <col min="10196" max="10196" width="10.28515625" style="254" customWidth="1"/>
    <col min="10197" max="10197" width="11.28515625" style="254" bestFit="1" customWidth="1"/>
    <col min="10198" max="10198" width="10.85546875" style="254" customWidth="1"/>
    <col min="10199" max="10199" width="11.7109375" style="254" customWidth="1"/>
    <col min="10200" max="10200" width="12.28515625" style="254" customWidth="1"/>
    <col min="10201" max="10204" width="10.140625" style="254" bestFit="1" customWidth="1"/>
    <col min="10205" max="10205" width="10.42578125" style="254" customWidth="1"/>
    <col min="10206" max="10206" width="9.85546875" style="254" customWidth="1"/>
    <col min="10207" max="10207" width="11" style="254" bestFit="1" customWidth="1"/>
    <col min="10208" max="10208" width="10.5703125" style="254" customWidth="1"/>
    <col min="10209" max="10209" width="11" style="254" bestFit="1" customWidth="1"/>
    <col min="10210" max="10210" width="9.28515625" style="254" bestFit="1" customWidth="1"/>
    <col min="10211" max="10211" width="9" style="254" customWidth="1"/>
    <col min="10212" max="10212" width="9.28515625" style="254" bestFit="1" customWidth="1"/>
    <col min="10213" max="10215" width="10.140625" style="254" bestFit="1" customWidth="1"/>
    <col min="10216" max="10216" width="11.28515625" style="254" bestFit="1" customWidth="1"/>
    <col min="10217" max="10217" width="10.85546875" style="254" customWidth="1"/>
    <col min="10218" max="10218" width="11.28515625" style="254" bestFit="1" customWidth="1"/>
    <col min="10219" max="10219" width="10.140625" style="254" bestFit="1" customWidth="1"/>
    <col min="10220" max="10220" width="7" style="254" customWidth="1"/>
    <col min="10221" max="10221" width="10.85546875" style="254" customWidth="1"/>
    <col min="10222" max="10222" width="11.7109375" style="254" customWidth="1"/>
    <col min="10223" max="10223" width="10.140625" style="254" customWidth="1"/>
    <col min="10224" max="10224" width="11" style="254" customWidth="1"/>
    <col min="10225" max="10225" width="2.5703125" style="254" customWidth="1"/>
    <col min="10226" max="10226" width="11.140625" style="254" customWidth="1"/>
    <col min="10227" max="10227" width="9.85546875" style="254" customWidth="1"/>
    <col min="10228" max="10228" width="13.42578125" style="254" customWidth="1"/>
    <col min="10229" max="10229" width="9.140625" style="254"/>
    <col min="10230" max="10230" width="16.85546875" style="254" customWidth="1"/>
    <col min="10231" max="10443" width="9.140625" style="254"/>
    <col min="10444" max="10444" width="4" style="254" customWidth="1"/>
    <col min="10445" max="10445" width="5.42578125" style="254" customWidth="1"/>
    <col min="10446" max="10446" width="49.42578125" style="254" customWidth="1"/>
    <col min="10447" max="10447" width="5" style="254" bestFit="1" customWidth="1"/>
    <col min="10448" max="10448" width="5.42578125" style="254" customWidth="1"/>
    <col min="10449" max="10449" width="3.7109375" style="254" bestFit="1" customWidth="1"/>
    <col min="10450" max="10450" width="9.140625" style="254" customWidth="1"/>
    <col min="10451" max="10451" width="11.28515625" style="254" bestFit="1" customWidth="1"/>
    <col min="10452" max="10452" width="10.28515625" style="254" customWidth="1"/>
    <col min="10453" max="10453" width="11.28515625" style="254" bestFit="1" customWidth="1"/>
    <col min="10454" max="10454" width="10.85546875" style="254" customWidth="1"/>
    <col min="10455" max="10455" width="11.7109375" style="254" customWidth="1"/>
    <col min="10456" max="10456" width="12.28515625" style="254" customWidth="1"/>
    <col min="10457" max="10460" width="10.140625" style="254" bestFit="1" customWidth="1"/>
    <col min="10461" max="10461" width="10.42578125" style="254" customWidth="1"/>
    <col min="10462" max="10462" width="9.85546875" style="254" customWidth="1"/>
    <col min="10463" max="10463" width="11" style="254" bestFit="1" customWidth="1"/>
    <col min="10464" max="10464" width="10.5703125" style="254" customWidth="1"/>
    <col min="10465" max="10465" width="11" style="254" bestFit="1" customWidth="1"/>
    <col min="10466" max="10466" width="9.28515625" style="254" bestFit="1" customWidth="1"/>
    <col min="10467" max="10467" width="9" style="254" customWidth="1"/>
    <col min="10468" max="10468" width="9.28515625" style="254" bestFit="1" customWidth="1"/>
    <col min="10469" max="10471" width="10.140625" style="254" bestFit="1" customWidth="1"/>
    <col min="10472" max="10472" width="11.28515625" style="254" bestFit="1" customWidth="1"/>
    <col min="10473" max="10473" width="10.85546875" style="254" customWidth="1"/>
    <col min="10474" max="10474" width="11.28515625" style="254" bestFit="1" customWidth="1"/>
    <col min="10475" max="10475" width="10.140625" style="254" bestFit="1" customWidth="1"/>
    <col min="10476" max="10476" width="7" style="254" customWidth="1"/>
    <col min="10477" max="10477" width="10.85546875" style="254" customWidth="1"/>
    <col min="10478" max="10478" width="11.7109375" style="254" customWidth="1"/>
    <col min="10479" max="10479" width="10.140625" style="254" customWidth="1"/>
    <col min="10480" max="10480" width="11" style="254" customWidth="1"/>
    <col min="10481" max="10481" width="2.5703125" style="254" customWidth="1"/>
    <col min="10482" max="10482" width="11.140625" style="254" customWidth="1"/>
    <col min="10483" max="10483" width="9.85546875" style="254" customWidth="1"/>
    <col min="10484" max="10484" width="13.42578125" style="254" customWidth="1"/>
    <col min="10485" max="10485" width="9.140625" style="254"/>
    <col min="10486" max="10486" width="16.85546875" style="254" customWidth="1"/>
    <col min="10487" max="10699" width="9.140625" style="254"/>
    <col min="10700" max="10700" width="4" style="254" customWidth="1"/>
    <col min="10701" max="10701" width="5.42578125" style="254" customWidth="1"/>
    <col min="10702" max="10702" width="49.42578125" style="254" customWidth="1"/>
    <col min="10703" max="10703" width="5" style="254" bestFit="1" customWidth="1"/>
    <col min="10704" max="10704" width="5.42578125" style="254" customWidth="1"/>
    <col min="10705" max="10705" width="3.7109375" style="254" bestFit="1" customWidth="1"/>
    <col min="10706" max="10706" width="9.140625" style="254" customWidth="1"/>
    <col min="10707" max="10707" width="11.28515625" style="254" bestFit="1" customWidth="1"/>
    <col min="10708" max="10708" width="10.28515625" style="254" customWidth="1"/>
    <col min="10709" max="10709" width="11.28515625" style="254" bestFit="1" customWidth="1"/>
    <col min="10710" max="10710" width="10.85546875" style="254" customWidth="1"/>
    <col min="10711" max="10711" width="11.7109375" style="254" customWidth="1"/>
    <col min="10712" max="10712" width="12.28515625" style="254" customWidth="1"/>
    <col min="10713" max="10716" width="10.140625" style="254" bestFit="1" customWidth="1"/>
    <col min="10717" max="10717" width="10.42578125" style="254" customWidth="1"/>
    <col min="10718" max="10718" width="9.85546875" style="254" customWidth="1"/>
    <col min="10719" max="10719" width="11" style="254" bestFit="1" customWidth="1"/>
    <col min="10720" max="10720" width="10.5703125" style="254" customWidth="1"/>
    <col min="10721" max="10721" width="11" style="254" bestFit="1" customWidth="1"/>
    <col min="10722" max="10722" width="9.28515625" style="254" bestFit="1" customWidth="1"/>
    <col min="10723" max="10723" width="9" style="254" customWidth="1"/>
    <col min="10724" max="10724" width="9.28515625" style="254" bestFit="1" customWidth="1"/>
    <col min="10725" max="10727" width="10.140625" style="254" bestFit="1" customWidth="1"/>
    <col min="10728" max="10728" width="11.28515625" style="254" bestFit="1" customWidth="1"/>
    <col min="10729" max="10729" width="10.85546875" style="254" customWidth="1"/>
    <col min="10730" max="10730" width="11.28515625" style="254" bestFit="1" customWidth="1"/>
    <col min="10731" max="10731" width="10.140625" style="254" bestFit="1" customWidth="1"/>
    <col min="10732" max="10732" width="7" style="254" customWidth="1"/>
    <col min="10733" max="10733" width="10.85546875" style="254" customWidth="1"/>
    <col min="10734" max="10734" width="11.7109375" style="254" customWidth="1"/>
    <col min="10735" max="10735" width="10.140625" style="254" customWidth="1"/>
    <col min="10736" max="10736" width="11" style="254" customWidth="1"/>
    <col min="10737" max="10737" width="2.5703125" style="254" customWidth="1"/>
    <col min="10738" max="10738" width="11.140625" style="254" customWidth="1"/>
    <col min="10739" max="10739" width="9.85546875" style="254" customWidth="1"/>
    <col min="10740" max="10740" width="13.42578125" style="254" customWidth="1"/>
    <col min="10741" max="10741" width="9.140625" style="254"/>
    <col min="10742" max="10742" width="16.85546875" style="254" customWidth="1"/>
    <col min="10743" max="10955" width="9.140625" style="254"/>
    <col min="10956" max="10956" width="4" style="254" customWidth="1"/>
    <col min="10957" max="10957" width="5.42578125" style="254" customWidth="1"/>
    <col min="10958" max="10958" width="49.42578125" style="254" customWidth="1"/>
    <col min="10959" max="10959" width="5" style="254" bestFit="1" customWidth="1"/>
    <col min="10960" max="10960" width="5.42578125" style="254" customWidth="1"/>
    <col min="10961" max="10961" width="3.7109375" style="254" bestFit="1" customWidth="1"/>
    <col min="10962" max="10962" width="9.140625" style="254" customWidth="1"/>
    <col min="10963" max="10963" width="11.28515625" style="254" bestFit="1" customWidth="1"/>
    <col min="10964" max="10964" width="10.28515625" style="254" customWidth="1"/>
    <col min="10965" max="10965" width="11.28515625" style="254" bestFit="1" customWidth="1"/>
    <col min="10966" max="10966" width="10.85546875" style="254" customWidth="1"/>
    <col min="10967" max="10967" width="11.7109375" style="254" customWidth="1"/>
    <col min="10968" max="10968" width="12.28515625" style="254" customWidth="1"/>
    <col min="10969" max="10972" width="10.140625" style="254" bestFit="1" customWidth="1"/>
    <col min="10973" max="10973" width="10.42578125" style="254" customWidth="1"/>
    <col min="10974" max="10974" width="9.85546875" style="254" customWidth="1"/>
    <col min="10975" max="10975" width="11" style="254" bestFit="1" customWidth="1"/>
    <col min="10976" max="10976" width="10.5703125" style="254" customWidth="1"/>
    <col min="10977" max="10977" width="11" style="254" bestFit="1" customWidth="1"/>
    <col min="10978" max="10978" width="9.28515625" style="254" bestFit="1" customWidth="1"/>
    <col min="10979" max="10979" width="9" style="254" customWidth="1"/>
    <col min="10980" max="10980" width="9.28515625" style="254" bestFit="1" customWidth="1"/>
    <col min="10981" max="10983" width="10.140625" style="254" bestFit="1" customWidth="1"/>
    <col min="10984" max="10984" width="11.28515625" style="254" bestFit="1" customWidth="1"/>
    <col min="10985" max="10985" width="10.85546875" style="254" customWidth="1"/>
    <col min="10986" max="10986" width="11.28515625" style="254" bestFit="1" customWidth="1"/>
    <col min="10987" max="10987" width="10.140625" style="254" bestFit="1" customWidth="1"/>
    <col min="10988" max="10988" width="7" style="254" customWidth="1"/>
    <col min="10989" max="10989" width="10.85546875" style="254" customWidth="1"/>
    <col min="10990" max="10990" width="11.7109375" style="254" customWidth="1"/>
    <col min="10991" max="10991" width="10.140625" style="254" customWidth="1"/>
    <col min="10992" max="10992" width="11" style="254" customWidth="1"/>
    <col min="10993" max="10993" width="2.5703125" style="254" customWidth="1"/>
    <col min="10994" max="10994" width="11.140625" style="254" customWidth="1"/>
    <col min="10995" max="10995" width="9.85546875" style="254" customWidth="1"/>
    <col min="10996" max="10996" width="13.42578125" style="254" customWidth="1"/>
    <col min="10997" max="10997" width="9.140625" style="254"/>
    <col min="10998" max="10998" width="16.85546875" style="254" customWidth="1"/>
    <col min="10999" max="11211" width="9.140625" style="254"/>
    <col min="11212" max="11212" width="4" style="254" customWidth="1"/>
    <col min="11213" max="11213" width="5.42578125" style="254" customWidth="1"/>
    <col min="11214" max="11214" width="49.42578125" style="254" customWidth="1"/>
    <col min="11215" max="11215" width="5" style="254" bestFit="1" customWidth="1"/>
    <col min="11216" max="11216" width="5.42578125" style="254" customWidth="1"/>
    <col min="11217" max="11217" width="3.7109375" style="254" bestFit="1" customWidth="1"/>
    <col min="11218" max="11218" width="9.140625" style="254" customWidth="1"/>
    <col min="11219" max="11219" width="11.28515625" style="254" bestFit="1" customWidth="1"/>
    <col min="11220" max="11220" width="10.28515625" style="254" customWidth="1"/>
    <col min="11221" max="11221" width="11.28515625" style="254" bestFit="1" customWidth="1"/>
    <col min="11222" max="11222" width="10.85546875" style="254" customWidth="1"/>
    <col min="11223" max="11223" width="11.7109375" style="254" customWidth="1"/>
    <col min="11224" max="11224" width="12.28515625" style="254" customWidth="1"/>
    <col min="11225" max="11228" width="10.140625" style="254" bestFit="1" customWidth="1"/>
    <col min="11229" max="11229" width="10.42578125" style="254" customWidth="1"/>
    <col min="11230" max="11230" width="9.85546875" style="254" customWidth="1"/>
    <col min="11231" max="11231" width="11" style="254" bestFit="1" customWidth="1"/>
    <col min="11232" max="11232" width="10.5703125" style="254" customWidth="1"/>
    <col min="11233" max="11233" width="11" style="254" bestFit="1" customWidth="1"/>
    <col min="11234" max="11234" width="9.28515625" style="254" bestFit="1" customWidth="1"/>
    <col min="11235" max="11235" width="9" style="254" customWidth="1"/>
    <col min="11236" max="11236" width="9.28515625" style="254" bestFit="1" customWidth="1"/>
    <col min="11237" max="11239" width="10.140625" style="254" bestFit="1" customWidth="1"/>
    <col min="11240" max="11240" width="11.28515625" style="254" bestFit="1" customWidth="1"/>
    <col min="11241" max="11241" width="10.85546875" style="254" customWidth="1"/>
    <col min="11242" max="11242" width="11.28515625" style="254" bestFit="1" customWidth="1"/>
    <col min="11243" max="11243" width="10.140625" style="254" bestFit="1" customWidth="1"/>
    <col min="11244" max="11244" width="7" style="254" customWidth="1"/>
    <col min="11245" max="11245" width="10.85546875" style="254" customWidth="1"/>
    <col min="11246" max="11246" width="11.7109375" style="254" customWidth="1"/>
    <col min="11247" max="11247" width="10.140625" style="254" customWidth="1"/>
    <col min="11248" max="11248" width="11" style="254" customWidth="1"/>
    <col min="11249" max="11249" width="2.5703125" style="254" customWidth="1"/>
    <col min="11250" max="11250" width="11.140625" style="254" customWidth="1"/>
    <col min="11251" max="11251" width="9.85546875" style="254" customWidth="1"/>
    <col min="11252" max="11252" width="13.42578125" style="254" customWidth="1"/>
    <col min="11253" max="11253" width="9.140625" style="254"/>
    <col min="11254" max="11254" width="16.85546875" style="254" customWidth="1"/>
    <col min="11255" max="11467" width="9.140625" style="254"/>
    <col min="11468" max="11468" width="4" style="254" customWidth="1"/>
    <col min="11469" max="11469" width="5.42578125" style="254" customWidth="1"/>
    <col min="11470" max="11470" width="49.42578125" style="254" customWidth="1"/>
    <col min="11471" max="11471" width="5" style="254" bestFit="1" customWidth="1"/>
    <col min="11472" max="11472" width="5.42578125" style="254" customWidth="1"/>
    <col min="11473" max="11473" width="3.7109375" style="254" bestFit="1" customWidth="1"/>
    <col min="11474" max="11474" width="9.140625" style="254" customWidth="1"/>
    <col min="11475" max="11475" width="11.28515625" style="254" bestFit="1" customWidth="1"/>
    <col min="11476" max="11476" width="10.28515625" style="254" customWidth="1"/>
    <col min="11477" max="11477" width="11.28515625" style="254" bestFit="1" customWidth="1"/>
    <col min="11478" max="11478" width="10.85546875" style="254" customWidth="1"/>
    <col min="11479" max="11479" width="11.7109375" style="254" customWidth="1"/>
    <col min="11480" max="11480" width="12.28515625" style="254" customWidth="1"/>
    <col min="11481" max="11484" width="10.140625" style="254" bestFit="1" customWidth="1"/>
    <col min="11485" max="11485" width="10.42578125" style="254" customWidth="1"/>
    <col min="11486" max="11486" width="9.85546875" style="254" customWidth="1"/>
    <col min="11487" max="11487" width="11" style="254" bestFit="1" customWidth="1"/>
    <col min="11488" max="11488" width="10.5703125" style="254" customWidth="1"/>
    <col min="11489" max="11489" width="11" style="254" bestFit="1" customWidth="1"/>
    <col min="11490" max="11490" width="9.28515625" style="254" bestFit="1" customWidth="1"/>
    <col min="11491" max="11491" width="9" style="254" customWidth="1"/>
    <col min="11492" max="11492" width="9.28515625" style="254" bestFit="1" customWidth="1"/>
    <col min="11493" max="11495" width="10.140625" style="254" bestFit="1" customWidth="1"/>
    <col min="11496" max="11496" width="11.28515625" style="254" bestFit="1" customWidth="1"/>
    <col min="11497" max="11497" width="10.85546875" style="254" customWidth="1"/>
    <col min="11498" max="11498" width="11.28515625" style="254" bestFit="1" customWidth="1"/>
    <col min="11499" max="11499" width="10.140625" style="254" bestFit="1" customWidth="1"/>
    <col min="11500" max="11500" width="7" style="254" customWidth="1"/>
    <col min="11501" max="11501" width="10.85546875" style="254" customWidth="1"/>
    <col min="11502" max="11502" width="11.7109375" style="254" customWidth="1"/>
    <col min="11503" max="11503" width="10.140625" style="254" customWidth="1"/>
    <col min="11504" max="11504" width="11" style="254" customWidth="1"/>
    <col min="11505" max="11505" width="2.5703125" style="254" customWidth="1"/>
    <col min="11506" max="11506" width="11.140625" style="254" customWidth="1"/>
    <col min="11507" max="11507" width="9.85546875" style="254" customWidth="1"/>
    <col min="11508" max="11508" width="13.42578125" style="254" customWidth="1"/>
    <col min="11509" max="11509" width="9.140625" style="254"/>
    <col min="11510" max="11510" width="16.85546875" style="254" customWidth="1"/>
    <col min="11511" max="11723" width="9.140625" style="254"/>
    <col min="11724" max="11724" width="4" style="254" customWidth="1"/>
    <col min="11725" max="11725" width="5.42578125" style="254" customWidth="1"/>
    <col min="11726" max="11726" width="49.42578125" style="254" customWidth="1"/>
    <col min="11727" max="11727" width="5" style="254" bestFit="1" customWidth="1"/>
    <col min="11728" max="11728" width="5.42578125" style="254" customWidth="1"/>
    <col min="11729" max="11729" width="3.7109375" style="254" bestFit="1" customWidth="1"/>
    <col min="11730" max="11730" width="9.140625" style="254" customWidth="1"/>
    <col min="11731" max="11731" width="11.28515625" style="254" bestFit="1" customWidth="1"/>
    <col min="11732" max="11732" width="10.28515625" style="254" customWidth="1"/>
    <col min="11733" max="11733" width="11.28515625" style="254" bestFit="1" customWidth="1"/>
    <col min="11734" max="11734" width="10.85546875" style="254" customWidth="1"/>
    <col min="11735" max="11735" width="11.7109375" style="254" customWidth="1"/>
    <col min="11736" max="11736" width="12.28515625" style="254" customWidth="1"/>
    <col min="11737" max="11740" width="10.140625" style="254" bestFit="1" customWidth="1"/>
    <col min="11741" max="11741" width="10.42578125" style="254" customWidth="1"/>
    <col min="11742" max="11742" width="9.85546875" style="254" customWidth="1"/>
    <col min="11743" max="11743" width="11" style="254" bestFit="1" customWidth="1"/>
    <col min="11744" max="11744" width="10.5703125" style="254" customWidth="1"/>
    <col min="11745" max="11745" width="11" style="254" bestFit="1" customWidth="1"/>
    <col min="11746" max="11746" width="9.28515625" style="254" bestFit="1" customWidth="1"/>
    <col min="11747" max="11747" width="9" style="254" customWidth="1"/>
    <col min="11748" max="11748" width="9.28515625" style="254" bestFit="1" customWidth="1"/>
    <col min="11749" max="11751" width="10.140625" style="254" bestFit="1" customWidth="1"/>
    <col min="11752" max="11752" width="11.28515625" style="254" bestFit="1" customWidth="1"/>
    <col min="11753" max="11753" width="10.85546875" style="254" customWidth="1"/>
    <col min="11754" max="11754" width="11.28515625" style="254" bestFit="1" customWidth="1"/>
    <col min="11755" max="11755" width="10.140625" style="254" bestFit="1" customWidth="1"/>
    <col min="11756" max="11756" width="7" style="254" customWidth="1"/>
    <col min="11757" max="11757" width="10.85546875" style="254" customWidth="1"/>
    <col min="11758" max="11758" width="11.7109375" style="254" customWidth="1"/>
    <col min="11759" max="11759" width="10.140625" style="254" customWidth="1"/>
    <col min="11760" max="11760" width="11" style="254" customWidth="1"/>
    <col min="11761" max="11761" width="2.5703125" style="254" customWidth="1"/>
    <col min="11762" max="11762" width="11.140625" style="254" customWidth="1"/>
    <col min="11763" max="11763" width="9.85546875" style="254" customWidth="1"/>
    <col min="11764" max="11764" width="13.42578125" style="254" customWidth="1"/>
    <col min="11765" max="11765" width="9.140625" style="254"/>
    <col min="11766" max="11766" width="16.85546875" style="254" customWidth="1"/>
    <col min="11767" max="11979" width="9.140625" style="254"/>
    <col min="11980" max="11980" width="4" style="254" customWidth="1"/>
    <col min="11981" max="11981" width="5.42578125" style="254" customWidth="1"/>
    <col min="11982" max="11982" width="49.42578125" style="254" customWidth="1"/>
    <col min="11983" max="11983" width="5" style="254" bestFit="1" customWidth="1"/>
    <col min="11984" max="11984" width="5.42578125" style="254" customWidth="1"/>
    <col min="11985" max="11985" width="3.7109375" style="254" bestFit="1" customWidth="1"/>
    <col min="11986" max="11986" width="9.140625" style="254" customWidth="1"/>
    <col min="11987" max="11987" width="11.28515625" style="254" bestFit="1" customWidth="1"/>
    <col min="11988" max="11988" width="10.28515625" style="254" customWidth="1"/>
    <col min="11989" max="11989" width="11.28515625" style="254" bestFit="1" customWidth="1"/>
    <col min="11990" max="11990" width="10.85546875" style="254" customWidth="1"/>
    <col min="11991" max="11991" width="11.7109375" style="254" customWidth="1"/>
    <col min="11992" max="11992" width="12.28515625" style="254" customWidth="1"/>
    <col min="11993" max="11996" width="10.140625" style="254" bestFit="1" customWidth="1"/>
    <col min="11997" max="11997" width="10.42578125" style="254" customWidth="1"/>
    <col min="11998" max="11998" width="9.85546875" style="254" customWidth="1"/>
    <col min="11999" max="11999" width="11" style="254" bestFit="1" customWidth="1"/>
    <col min="12000" max="12000" width="10.5703125" style="254" customWidth="1"/>
    <col min="12001" max="12001" width="11" style="254" bestFit="1" customWidth="1"/>
    <col min="12002" max="12002" width="9.28515625" style="254" bestFit="1" customWidth="1"/>
    <col min="12003" max="12003" width="9" style="254" customWidth="1"/>
    <col min="12004" max="12004" width="9.28515625" style="254" bestFit="1" customWidth="1"/>
    <col min="12005" max="12007" width="10.140625" style="254" bestFit="1" customWidth="1"/>
    <col min="12008" max="12008" width="11.28515625" style="254" bestFit="1" customWidth="1"/>
    <col min="12009" max="12009" width="10.85546875" style="254" customWidth="1"/>
    <col min="12010" max="12010" width="11.28515625" style="254" bestFit="1" customWidth="1"/>
    <col min="12011" max="12011" width="10.140625" style="254" bestFit="1" customWidth="1"/>
    <col min="12012" max="12012" width="7" style="254" customWidth="1"/>
    <col min="12013" max="12013" width="10.85546875" style="254" customWidth="1"/>
    <col min="12014" max="12014" width="11.7109375" style="254" customWidth="1"/>
    <col min="12015" max="12015" width="10.140625" style="254" customWidth="1"/>
    <col min="12016" max="12016" width="11" style="254" customWidth="1"/>
    <col min="12017" max="12017" width="2.5703125" style="254" customWidth="1"/>
    <col min="12018" max="12018" width="11.140625" style="254" customWidth="1"/>
    <col min="12019" max="12019" width="9.85546875" style="254" customWidth="1"/>
    <col min="12020" max="12020" width="13.42578125" style="254" customWidth="1"/>
    <col min="12021" max="12021" width="9.140625" style="254"/>
    <col min="12022" max="12022" width="16.85546875" style="254" customWidth="1"/>
    <col min="12023" max="12235" width="9.140625" style="254"/>
    <col min="12236" max="12236" width="4" style="254" customWidth="1"/>
    <col min="12237" max="12237" width="5.42578125" style="254" customWidth="1"/>
    <col min="12238" max="12238" width="49.42578125" style="254" customWidth="1"/>
    <col min="12239" max="12239" width="5" style="254" bestFit="1" customWidth="1"/>
    <col min="12240" max="12240" width="5.42578125" style="254" customWidth="1"/>
    <col min="12241" max="12241" width="3.7109375" style="254" bestFit="1" customWidth="1"/>
    <col min="12242" max="12242" width="9.140625" style="254" customWidth="1"/>
    <col min="12243" max="12243" width="11.28515625" style="254" bestFit="1" customWidth="1"/>
    <col min="12244" max="12244" width="10.28515625" style="254" customWidth="1"/>
    <col min="12245" max="12245" width="11.28515625" style="254" bestFit="1" customWidth="1"/>
    <col min="12246" max="12246" width="10.85546875" style="254" customWidth="1"/>
    <col min="12247" max="12247" width="11.7109375" style="254" customWidth="1"/>
    <col min="12248" max="12248" width="12.28515625" style="254" customWidth="1"/>
    <col min="12249" max="12252" width="10.140625" style="254" bestFit="1" customWidth="1"/>
    <col min="12253" max="12253" width="10.42578125" style="254" customWidth="1"/>
    <col min="12254" max="12254" width="9.85546875" style="254" customWidth="1"/>
    <col min="12255" max="12255" width="11" style="254" bestFit="1" customWidth="1"/>
    <col min="12256" max="12256" width="10.5703125" style="254" customWidth="1"/>
    <col min="12257" max="12257" width="11" style="254" bestFit="1" customWidth="1"/>
    <col min="12258" max="12258" width="9.28515625" style="254" bestFit="1" customWidth="1"/>
    <col min="12259" max="12259" width="9" style="254" customWidth="1"/>
    <col min="12260" max="12260" width="9.28515625" style="254" bestFit="1" customWidth="1"/>
    <col min="12261" max="12263" width="10.140625" style="254" bestFit="1" customWidth="1"/>
    <col min="12264" max="12264" width="11.28515625" style="254" bestFit="1" customWidth="1"/>
    <col min="12265" max="12265" width="10.85546875" style="254" customWidth="1"/>
    <col min="12266" max="12266" width="11.28515625" style="254" bestFit="1" customWidth="1"/>
    <col min="12267" max="12267" width="10.140625" style="254" bestFit="1" customWidth="1"/>
    <col min="12268" max="12268" width="7" style="254" customWidth="1"/>
    <col min="12269" max="12269" width="10.85546875" style="254" customWidth="1"/>
    <col min="12270" max="12270" width="11.7109375" style="254" customWidth="1"/>
    <col min="12271" max="12271" width="10.140625" style="254" customWidth="1"/>
    <col min="12272" max="12272" width="11" style="254" customWidth="1"/>
    <col min="12273" max="12273" width="2.5703125" style="254" customWidth="1"/>
    <col min="12274" max="12274" width="11.140625" style="254" customWidth="1"/>
    <col min="12275" max="12275" width="9.85546875" style="254" customWidth="1"/>
    <col min="12276" max="12276" width="13.42578125" style="254" customWidth="1"/>
    <col min="12277" max="12277" width="9.140625" style="254"/>
    <col min="12278" max="12278" width="16.85546875" style="254" customWidth="1"/>
    <col min="12279" max="12491" width="9.140625" style="254"/>
    <col min="12492" max="12492" width="4" style="254" customWidth="1"/>
    <col min="12493" max="12493" width="5.42578125" style="254" customWidth="1"/>
    <col min="12494" max="12494" width="49.42578125" style="254" customWidth="1"/>
    <col min="12495" max="12495" width="5" style="254" bestFit="1" customWidth="1"/>
    <col min="12496" max="12496" width="5.42578125" style="254" customWidth="1"/>
    <col min="12497" max="12497" width="3.7109375" style="254" bestFit="1" customWidth="1"/>
    <col min="12498" max="12498" width="9.140625" style="254" customWidth="1"/>
    <col min="12499" max="12499" width="11.28515625" style="254" bestFit="1" customWidth="1"/>
    <col min="12500" max="12500" width="10.28515625" style="254" customWidth="1"/>
    <col min="12501" max="12501" width="11.28515625" style="254" bestFit="1" customWidth="1"/>
    <col min="12502" max="12502" width="10.85546875" style="254" customWidth="1"/>
    <col min="12503" max="12503" width="11.7109375" style="254" customWidth="1"/>
    <col min="12504" max="12504" width="12.28515625" style="254" customWidth="1"/>
    <col min="12505" max="12508" width="10.140625" style="254" bestFit="1" customWidth="1"/>
    <col min="12509" max="12509" width="10.42578125" style="254" customWidth="1"/>
    <col min="12510" max="12510" width="9.85546875" style="254" customWidth="1"/>
    <col min="12511" max="12511" width="11" style="254" bestFit="1" customWidth="1"/>
    <col min="12512" max="12512" width="10.5703125" style="254" customWidth="1"/>
    <col min="12513" max="12513" width="11" style="254" bestFit="1" customWidth="1"/>
    <col min="12514" max="12514" width="9.28515625" style="254" bestFit="1" customWidth="1"/>
    <col min="12515" max="12515" width="9" style="254" customWidth="1"/>
    <col min="12516" max="12516" width="9.28515625" style="254" bestFit="1" customWidth="1"/>
    <col min="12517" max="12519" width="10.140625" style="254" bestFit="1" customWidth="1"/>
    <col min="12520" max="12520" width="11.28515625" style="254" bestFit="1" customWidth="1"/>
    <col min="12521" max="12521" width="10.85546875" style="254" customWidth="1"/>
    <col min="12522" max="12522" width="11.28515625" style="254" bestFit="1" customWidth="1"/>
    <col min="12523" max="12523" width="10.140625" style="254" bestFit="1" customWidth="1"/>
    <col min="12524" max="12524" width="7" style="254" customWidth="1"/>
    <col min="12525" max="12525" width="10.85546875" style="254" customWidth="1"/>
    <col min="12526" max="12526" width="11.7109375" style="254" customWidth="1"/>
    <col min="12527" max="12527" width="10.140625" style="254" customWidth="1"/>
    <col min="12528" max="12528" width="11" style="254" customWidth="1"/>
    <col min="12529" max="12529" width="2.5703125" style="254" customWidth="1"/>
    <col min="12530" max="12530" width="11.140625" style="254" customWidth="1"/>
    <col min="12531" max="12531" width="9.85546875" style="254" customWidth="1"/>
    <col min="12532" max="12532" width="13.42578125" style="254" customWidth="1"/>
    <col min="12533" max="12533" width="9.140625" style="254"/>
    <col min="12534" max="12534" width="16.85546875" style="254" customWidth="1"/>
    <col min="12535" max="12747" width="9.140625" style="254"/>
    <col min="12748" max="12748" width="4" style="254" customWidth="1"/>
    <col min="12749" max="12749" width="5.42578125" style="254" customWidth="1"/>
    <col min="12750" max="12750" width="49.42578125" style="254" customWidth="1"/>
    <col min="12751" max="12751" width="5" style="254" bestFit="1" customWidth="1"/>
    <col min="12752" max="12752" width="5.42578125" style="254" customWidth="1"/>
    <col min="12753" max="12753" width="3.7109375" style="254" bestFit="1" customWidth="1"/>
    <col min="12754" max="12754" width="9.140625" style="254" customWidth="1"/>
    <col min="12755" max="12755" width="11.28515625" style="254" bestFit="1" customWidth="1"/>
    <col min="12756" max="12756" width="10.28515625" style="254" customWidth="1"/>
    <col min="12757" max="12757" width="11.28515625" style="254" bestFit="1" customWidth="1"/>
    <col min="12758" max="12758" width="10.85546875" style="254" customWidth="1"/>
    <col min="12759" max="12759" width="11.7109375" style="254" customWidth="1"/>
    <col min="12760" max="12760" width="12.28515625" style="254" customWidth="1"/>
    <col min="12761" max="12764" width="10.140625" style="254" bestFit="1" customWidth="1"/>
    <col min="12765" max="12765" width="10.42578125" style="254" customWidth="1"/>
    <col min="12766" max="12766" width="9.85546875" style="254" customWidth="1"/>
    <col min="12767" max="12767" width="11" style="254" bestFit="1" customWidth="1"/>
    <col min="12768" max="12768" width="10.5703125" style="254" customWidth="1"/>
    <col min="12769" max="12769" width="11" style="254" bestFit="1" customWidth="1"/>
    <col min="12770" max="12770" width="9.28515625" style="254" bestFit="1" customWidth="1"/>
    <col min="12771" max="12771" width="9" style="254" customWidth="1"/>
    <col min="12772" max="12772" width="9.28515625" style="254" bestFit="1" customWidth="1"/>
    <col min="12773" max="12775" width="10.140625" style="254" bestFit="1" customWidth="1"/>
    <col min="12776" max="12776" width="11.28515625" style="254" bestFit="1" customWidth="1"/>
    <col min="12777" max="12777" width="10.85546875" style="254" customWidth="1"/>
    <col min="12778" max="12778" width="11.28515625" style="254" bestFit="1" customWidth="1"/>
    <col min="12779" max="12779" width="10.140625" style="254" bestFit="1" customWidth="1"/>
    <col min="12780" max="12780" width="7" style="254" customWidth="1"/>
    <col min="12781" max="12781" width="10.85546875" style="254" customWidth="1"/>
    <col min="12782" max="12782" width="11.7109375" style="254" customWidth="1"/>
    <col min="12783" max="12783" width="10.140625" style="254" customWidth="1"/>
    <col min="12784" max="12784" width="11" style="254" customWidth="1"/>
    <col min="12785" max="12785" width="2.5703125" style="254" customWidth="1"/>
    <col min="12786" max="12786" width="11.140625" style="254" customWidth="1"/>
    <col min="12787" max="12787" width="9.85546875" style="254" customWidth="1"/>
    <col min="12788" max="12788" width="13.42578125" style="254" customWidth="1"/>
    <col min="12789" max="12789" width="9.140625" style="254"/>
    <col min="12790" max="12790" width="16.85546875" style="254" customWidth="1"/>
    <col min="12791" max="13003" width="9.140625" style="254"/>
    <col min="13004" max="13004" width="4" style="254" customWidth="1"/>
    <col min="13005" max="13005" width="5.42578125" style="254" customWidth="1"/>
    <col min="13006" max="13006" width="49.42578125" style="254" customWidth="1"/>
    <col min="13007" max="13007" width="5" style="254" bestFit="1" customWidth="1"/>
    <col min="13008" max="13008" width="5.42578125" style="254" customWidth="1"/>
    <col min="13009" max="13009" width="3.7109375" style="254" bestFit="1" customWidth="1"/>
    <col min="13010" max="13010" width="9.140625" style="254" customWidth="1"/>
    <col min="13011" max="13011" width="11.28515625" style="254" bestFit="1" customWidth="1"/>
    <col min="13012" max="13012" width="10.28515625" style="254" customWidth="1"/>
    <col min="13013" max="13013" width="11.28515625" style="254" bestFit="1" customWidth="1"/>
    <col min="13014" max="13014" width="10.85546875" style="254" customWidth="1"/>
    <col min="13015" max="13015" width="11.7109375" style="254" customWidth="1"/>
    <col min="13016" max="13016" width="12.28515625" style="254" customWidth="1"/>
    <col min="13017" max="13020" width="10.140625" style="254" bestFit="1" customWidth="1"/>
    <col min="13021" max="13021" width="10.42578125" style="254" customWidth="1"/>
    <col min="13022" max="13022" width="9.85546875" style="254" customWidth="1"/>
    <col min="13023" max="13023" width="11" style="254" bestFit="1" customWidth="1"/>
    <col min="13024" max="13024" width="10.5703125" style="254" customWidth="1"/>
    <col min="13025" max="13025" width="11" style="254" bestFit="1" customWidth="1"/>
    <col min="13026" max="13026" width="9.28515625" style="254" bestFit="1" customWidth="1"/>
    <col min="13027" max="13027" width="9" style="254" customWidth="1"/>
    <col min="13028" max="13028" width="9.28515625" style="254" bestFit="1" customWidth="1"/>
    <col min="13029" max="13031" width="10.140625" style="254" bestFit="1" customWidth="1"/>
    <col min="13032" max="13032" width="11.28515625" style="254" bestFit="1" customWidth="1"/>
    <col min="13033" max="13033" width="10.85546875" style="254" customWidth="1"/>
    <col min="13034" max="13034" width="11.28515625" style="254" bestFit="1" customWidth="1"/>
    <col min="13035" max="13035" width="10.140625" style="254" bestFit="1" customWidth="1"/>
    <col min="13036" max="13036" width="7" style="254" customWidth="1"/>
    <col min="13037" max="13037" width="10.85546875" style="254" customWidth="1"/>
    <col min="13038" max="13038" width="11.7109375" style="254" customWidth="1"/>
    <col min="13039" max="13039" width="10.140625" style="254" customWidth="1"/>
    <col min="13040" max="13040" width="11" style="254" customWidth="1"/>
    <col min="13041" max="13041" width="2.5703125" style="254" customWidth="1"/>
    <col min="13042" max="13042" width="11.140625" style="254" customWidth="1"/>
    <col min="13043" max="13043" width="9.85546875" style="254" customWidth="1"/>
    <col min="13044" max="13044" width="13.42578125" style="254" customWidth="1"/>
    <col min="13045" max="13045" width="9.140625" style="254"/>
    <col min="13046" max="13046" width="16.85546875" style="254" customWidth="1"/>
    <col min="13047" max="13259" width="9.140625" style="254"/>
    <col min="13260" max="13260" width="4" style="254" customWidth="1"/>
    <col min="13261" max="13261" width="5.42578125" style="254" customWidth="1"/>
    <col min="13262" max="13262" width="49.42578125" style="254" customWidth="1"/>
    <col min="13263" max="13263" width="5" style="254" bestFit="1" customWidth="1"/>
    <col min="13264" max="13264" width="5.42578125" style="254" customWidth="1"/>
    <col min="13265" max="13265" width="3.7109375" style="254" bestFit="1" customWidth="1"/>
    <col min="13266" max="13266" width="9.140625" style="254" customWidth="1"/>
    <col min="13267" max="13267" width="11.28515625" style="254" bestFit="1" customWidth="1"/>
    <col min="13268" max="13268" width="10.28515625" style="254" customWidth="1"/>
    <col min="13269" max="13269" width="11.28515625" style="254" bestFit="1" customWidth="1"/>
    <col min="13270" max="13270" width="10.85546875" style="254" customWidth="1"/>
    <col min="13271" max="13271" width="11.7109375" style="254" customWidth="1"/>
    <col min="13272" max="13272" width="12.28515625" style="254" customWidth="1"/>
    <col min="13273" max="13276" width="10.140625" style="254" bestFit="1" customWidth="1"/>
    <col min="13277" max="13277" width="10.42578125" style="254" customWidth="1"/>
    <col min="13278" max="13278" width="9.85546875" style="254" customWidth="1"/>
    <col min="13279" max="13279" width="11" style="254" bestFit="1" customWidth="1"/>
    <col min="13280" max="13280" width="10.5703125" style="254" customWidth="1"/>
    <col min="13281" max="13281" width="11" style="254" bestFit="1" customWidth="1"/>
    <col min="13282" max="13282" width="9.28515625" style="254" bestFit="1" customWidth="1"/>
    <col min="13283" max="13283" width="9" style="254" customWidth="1"/>
    <col min="13284" max="13284" width="9.28515625" style="254" bestFit="1" customWidth="1"/>
    <col min="13285" max="13287" width="10.140625" style="254" bestFit="1" customWidth="1"/>
    <col min="13288" max="13288" width="11.28515625" style="254" bestFit="1" customWidth="1"/>
    <col min="13289" max="13289" width="10.85546875" style="254" customWidth="1"/>
    <col min="13290" max="13290" width="11.28515625" style="254" bestFit="1" customWidth="1"/>
    <col min="13291" max="13291" width="10.140625" style="254" bestFit="1" customWidth="1"/>
    <col min="13292" max="13292" width="7" style="254" customWidth="1"/>
    <col min="13293" max="13293" width="10.85546875" style="254" customWidth="1"/>
    <col min="13294" max="13294" width="11.7109375" style="254" customWidth="1"/>
    <col min="13295" max="13295" width="10.140625" style="254" customWidth="1"/>
    <col min="13296" max="13296" width="11" style="254" customWidth="1"/>
    <col min="13297" max="13297" width="2.5703125" style="254" customWidth="1"/>
    <col min="13298" max="13298" width="11.140625" style="254" customWidth="1"/>
    <col min="13299" max="13299" width="9.85546875" style="254" customWidth="1"/>
    <col min="13300" max="13300" width="13.42578125" style="254" customWidth="1"/>
    <col min="13301" max="13301" width="9.140625" style="254"/>
    <col min="13302" max="13302" width="16.85546875" style="254" customWidth="1"/>
    <col min="13303" max="13515" width="9.140625" style="254"/>
    <col min="13516" max="13516" width="4" style="254" customWidth="1"/>
    <col min="13517" max="13517" width="5.42578125" style="254" customWidth="1"/>
    <col min="13518" max="13518" width="49.42578125" style="254" customWidth="1"/>
    <col min="13519" max="13519" width="5" style="254" bestFit="1" customWidth="1"/>
    <col min="13520" max="13520" width="5.42578125" style="254" customWidth="1"/>
    <col min="13521" max="13521" width="3.7109375" style="254" bestFit="1" customWidth="1"/>
    <col min="13522" max="13522" width="9.140625" style="254" customWidth="1"/>
    <col min="13523" max="13523" width="11.28515625" style="254" bestFit="1" customWidth="1"/>
    <col min="13524" max="13524" width="10.28515625" style="254" customWidth="1"/>
    <col min="13525" max="13525" width="11.28515625" style="254" bestFit="1" customWidth="1"/>
    <col min="13526" max="13526" width="10.85546875" style="254" customWidth="1"/>
    <col min="13527" max="13527" width="11.7109375" style="254" customWidth="1"/>
    <col min="13528" max="13528" width="12.28515625" style="254" customWidth="1"/>
    <col min="13529" max="13532" width="10.140625" style="254" bestFit="1" customWidth="1"/>
    <col min="13533" max="13533" width="10.42578125" style="254" customWidth="1"/>
    <col min="13534" max="13534" width="9.85546875" style="254" customWidth="1"/>
    <col min="13535" max="13535" width="11" style="254" bestFit="1" customWidth="1"/>
    <col min="13536" max="13536" width="10.5703125" style="254" customWidth="1"/>
    <col min="13537" max="13537" width="11" style="254" bestFit="1" customWidth="1"/>
    <col min="13538" max="13538" width="9.28515625" style="254" bestFit="1" customWidth="1"/>
    <col min="13539" max="13539" width="9" style="254" customWidth="1"/>
    <col min="13540" max="13540" width="9.28515625" style="254" bestFit="1" customWidth="1"/>
    <col min="13541" max="13543" width="10.140625" style="254" bestFit="1" customWidth="1"/>
    <col min="13544" max="13544" width="11.28515625" style="254" bestFit="1" customWidth="1"/>
    <col min="13545" max="13545" width="10.85546875" style="254" customWidth="1"/>
    <col min="13546" max="13546" width="11.28515625" style="254" bestFit="1" customWidth="1"/>
    <col min="13547" max="13547" width="10.140625" style="254" bestFit="1" customWidth="1"/>
    <col min="13548" max="13548" width="7" style="254" customWidth="1"/>
    <col min="13549" max="13549" width="10.85546875" style="254" customWidth="1"/>
    <col min="13550" max="13550" width="11.7109375" style="254" customWidth="1"/>
    <col min="13551" max="13551" width="10.140625" style="254" customWidth="1"/>
    <col min="13552" max="13552" width="11" style="254" customWidth="1"/>
    <col min="13553" max="13553" width="2.5703125" style="254" customWidth="1"/>
    <col min="13554" max="13554" width="11.140625" style="254" customWidth="1"/>
    <col min="13555" max="13555" width="9.85546875" style="254" customWidth="1"/>
    <col min="13556" max="13556" width="13.42578125" style="254" customWidth="1"/>
    <col min="13557" max="13557" width="9.140625" style="254"/>
    <col min="13558" max="13558" width="16.85546875" style="254" customWidth="1"/>
    <col min="13559" max="13771" width="9.140625" style="254"/>
    <col min="13772" max="13772" width="4" style="254" customWidth="1"/>
    <col min="13773" max="13773" width="5.42578125" style="254" customWidth="1"/>
    <col min="13774" max="13774" width="49.42578125" style="254" customWidth="1"/>
    <col min="13775" max="13775" width="5" style="254" bestFit="1" customWidth="1"/>
    <col min="13776" max="13776" width="5.42578125" style="254" customWidth="1"/>
    <col min="13777" max="13777" width="3.7109375" style="254" bestFit="1" customWidth="1"/>
    <col min="13778" max="13778" width="9.140625" style="254" customWidth="1"/>
    <col min="13779" max="13779" width="11.28515625" style="254" bestFit="1" customWidth="1"/>
    <col min="13780" max="13780" width="10.28515625" style="254" customWidth="1"/>
    <col min="13781" max="13781" width="11.28515625" style="254" bestFit="1" customWidth="1"/>
    <col min="13782" max="13782" width="10.85546875" style="254" customWidth="1"/>
    <col min="13783" max="13783" width="11.7109375" style="254" customWidth="1"/>
    <col min="13784" max="13784" width="12.28515625" style="254" customWidth="1"/>
    <col min="13785" max="13788" width="10.140625" style="254" bestFit="1" customWidth="1"/>
    <col min="13789" max="13789" width="10.42578125" style="254" customWidth="1"/>
    <col min="13790" max="13790" width="9.85546875" style="254" customWidth="1"/>
    <col min="13791" max="13791" width="11" style="254" bestFit="1" customWidth="1"/>
    <col min="13792" max="13792" width="10.5703125" style="254" customWidth="1"/>
    <col min="13793" max="13793" width="11" style="254" bestFit="1" customWidth="1"/>
    <col min="13794" max="13794" width="9.28515625" style="254" bestFit="1" customWidth="1"/>
    <col min="13795" max="13795" width="9" style="254" customWidth="1"/>
    <col min="13796" max="13796" width="9.28515625" style="254" bestFit="1" customWidth="1"/>
    <col min="13797" max="13799" width="10.140625" style="254" bestFit="1" customWidth="1"/>
    <col min="13800" max="13800" width="11.28515625" style="254" bestFit="1" customWidth="1"/>
    <col min="13801" max="13801" width="10.85546875" style="254" customWidth="1"/>
    <col min="13802" max="13802" width="11.28515625" style="254" bestFit="1" customWidth="1"/>
    <col min="13803" max="13803" width="10.140625" style="254" bestFit="1" customWidth="1"/>
    <col min="13804" max="13804" width="7" style="254" customWidth="1"/>
    <col min="13805" max="13805" width="10.85546875" style="254" customWidth="1"/>
    <col min="13806" max="13806" width="11.7109375" style="254" customWidth="1"/>
    <col min="13807" max="13807" width="10.140625" style="254" customWidth="1"/>
    <col min="13808" max="13808" width="11" style="254" customWidth="1"/>
    <col min="13809" max="13809" width="2.5703125" style="254" customWidth="1"/>
    <col min="13810" max="13810" width="11.140625" style="254" customWidth="1"/>
    <col min="13811" max="13811" width="9.85546875" style="254" customWidth="1"/>
    <col min="13812" max="13812" width="13.42578125" style="254" customWidth="1"/>
    <col min="13813" max="13813" width="9.140625" style="254"/>
    <col min="13814" max="13814" width="16.85546875" style="254" customWidth="1"/>
    <col min="13815" max="14027" width="9.140625" style="254"/>
    <col min="14028" max="14028" width="4" style="254" customWidth="1"/>
    <col min="14029" max="14029" width="5.42578125" style="254" customWidth="1"/>
    <col min="14030" max="14030" width="49.42578125" style="254" customWidth="1"/>
    <col min="14031" max="14031" width="5" style="254" bestFit="1" customWidth="1"/>
    <col min="14032" max="14032" width="5.42578125" style="254" customWidth="1"/>
    <col min="14033" max="14033" width="3.7109375" style="254" bestFit="1" customWidth="1"/>
    <col min="14034" max="14034" width="9.140625" style="254" customWidth="1"/>
    <col min="14035" max="14035" width="11.28515625" style="254" bestFit="1" customWidth="1"/>
    <col min="14036" max="14036" width="10.28515625" style="254" customWidth="1"/>
    <col min="14037" max="14037" width="11.28515625" style="254" bestFit="1" customWidth="1"/>
    <col min="14038" max="14038" width="10.85546875" style="254" customWidth="1"/>
    <col min="14039" max="14039" width="11.7109375" style="254" customWidth="1"/>
    <col min="14040" max="14040" width="12.28515625" style="254" customWidth="1"/>
    <col min="14041" max="14044" width="10.140625" style="254" bestFit="1" customWidth="1"/>
    <col min="14045" max="14045" width="10.42578125" style="254" customWidth="1"/>
    <col min="14046" max="14046" width="9.85546875" style="254" customWidth="1"/>
    <col min="14047" max="14047" width="11" style="254" bestFit="1" customWidth="1"/>
    <col min="14048" max="14048" width="10.5703125" style="254" customWidth="1"/>
    <col min="14049" max="14049" width="11" style="254" bestFit="1" customWidth="1"/>
    <col min="14050" max="14050" width="9.28515625" style="254" bestFit="1" customWidth="1"/>
    <col min="14051" max="14051" width="9" style="254" customWidth="1"/>
    <col min="14052" max="14052" width="9.28515625" style="254" bestFit="1" customWidth="1"/>
    <col min="14053" max="14055" width="10.140625" style="254" bestFit="1" customWidth="1"/>
    <col min="14056" max="14056" width="11.28515625" style="254" bestFit="1" customWidth="1"/>
    <col min="14057" max="14057" width="10.85546875" style="254" customWidth="1"/>
    <col min="14058" max="14058" width="11.28515625" style="254" bestFit="1" customWidth="1"/>
    <col min="14059" max="14059" width="10.140625" style="254" bestFit="1" customWidth="1"/>
    <col min="14060" max="14060" width="7" style="254" customWidth="1"/>
    <col min="14061" max="14061" width="10.85546875" style="254" customWidth="1"/>
    <col min="14062" max="14062" width="11.7109375" style="254" customWidth="1"/>
    <col min="14063" max="14063" width="10.140625" style="254" customWidth="1"/>
    <col min="14064" max="14064" width="11" style="254" customWidth="1"/>
    <col min="14065" max="14065" width="2.5703125" style="254" customWidth="1"/>
    <col min="14066" max="14066" width="11.140625" style="254" customWidth="1"/>
    <col min="14067" max="14067" width="9.85546875" style="254" customWidth="1"/>
    <col min="14068" max="14068" width="13.42578125" style="254" customWidth="1"/>
    <col min="14069" max="14069" width="9.140625" style="254"/>
    <col min="14070" max="14070" width="16.85546875" style="254" customWidth="1"/>
    <col min="14071" max="14283" width="9.140625" style="254"/>
    <col min="14284" max="14284" width="4" style="254" customWidth="1"/>
    <col min="14285" max="14285" width="5.42578125" style="254" customWidth="1"/>
    <col min="14286" max="14286" width="49.42578125" style="254" customWidth="1"/>
    <col min="14287" max="14287" width="5" style="254" bestFit="1" customWidth="1"/>
    <col min="14288" max="14288" width="5.42578125" style="254" customWidth="1"/>
    <col min="14289" max="14289" width="3.7109375" style="254" bestFit="1" customWidth="1"/>
    <col min="14290" max="14290" width="9.140625" style="254" customWidth="1"/>
    <col min="14291" max="14291" width="11.28515625" style="254" bestFit="1" customWidth="1"/>
    <col min="14292" max="14292" width="10.28515625" style="254" customWidth="1"/>
    <col min="14293" max="14293" width="11.28515625" style="254" bestFit="1" customWidth="1"/>
    <col min="14294" max="14294" width="10.85546875" style="254" customWidth="1"/>
    <col min="14295" max="14295" width="11.7109375" style="254" customWidth="1"/>
    <col min="14296" max="14296" width="12.28515625" style="254" customWidth="1"/>
    <col min="14297" max="14300" width="10.140625" style="254" bestFit="1" customWidth="1"/>
    <col min="14301" max="14301" width="10.42578125" style="254" customWidth="1"/>
    <col min="14302" max="14302" width="9.85546875" style="254" customWidth="1"/>
    <col min="14303" max="14303" width="11" style="254" bestFit="1" customWidth="1"/>
    <col min="14304" max="14304" width="10.5703125" style="254" customWidth="1"/>
    <col min="14305" max="14305" width="11" style="254" bestFit="1" customWidth="1"/>
    <col min="14306" max="14306" width="9.28515625" style="254" bestFit="1" customWidth="1"/>
    <col min="14307" max="14307" width="9" style="254" customWidth="1"/>
    <col min="14308" max="14308" width="9.28515625" style="254" bestFit="1" customWidth="1"/>
    <col min="14309" max="14311" width="10.140625" style="254" bestFit="1" customWidth="1"/>
    <col min="14312" max="14312" width="11.28515625" style="254" bestFit="1" customWidth="1"/>
    <col min="14313" max="14313" width="10.85546875" style="254" customWidth="1"/>
    <col min="14314" max="14314" width="11.28515625" style="254" bestFit="1" customWidth="1"/>
    <col min="14315" max="14315" width="10.140625" style="254" bestFit="1" customWidth="1"/>
    <col min="14316" max="14316" width="7" style="254" customWidth="1"/>
    <col min="14317" max="14317" width="10.85546875" style="254" customWidth="1"/>
    <col min="14318" max="14318" width="11.7109375" style="254" customWidth="1"/>
    <col min="14319" max="14319" width="10.140625" style="254" customWidth="1"/>
    <col min="14320" max="14320" width="11" style="254" customWidth="1"/>
    <col min="14321" max="14321" width="2.5703125" style="254" customWidth="1"/>
    <col min="14322" max="14322" width="11.140625" style="254" customWidth="1"/>
    <col min="14323" max="14323" width="9.85546875" style="254" customWidth="1"/>
    <col min="14324" max="14324" width="13.42578125" style="254" customWidth="1"/>
    <col min="14325" max="14325" width="9.140625" style="254"/>
    <col min="14326" max="14326" width="16.85546875" style="254" customWidth="1"/>
    <col min="14327" max="14539" width="9.140625" style="254"/>
    <col min="14540" max="14540" width="4" style="254" customWidth="1"/>
    <col min="14541" max="14541" width="5.42578125" style="254" customWidth="1"/>
    <col min="14542" max="14542" width="49.42578125" style="254" customWidth="1"/>
    <col min="14543" max="14543" width="5" style="254" bestFit="1" customWidth="1"/>
    <col min="14544" max="14544" width="5.42578125" style="254" customWidth="1"/>
    <col min="14545" max="14545" width="3.7109375" style="254" bestFit="1" customWidth="1"/>
    <col min="14546" max="14546" width="9.140625" style="254" customWidth="1"/>
    <col min="14547" max="14547" width="11.28515625" style="254" bestFit="1" customWidth="1"/>
    <col min="14548" max="14548" width="10.28515625" style="254" customWidth="1"/>
    <col min="14549" max="14549" width="11.28515625" style="254" bestFit="1" customWidth="1"/>
    <col min="14550" max="14550" width="10.85546875" style="254" customWidth="1"/>
    <col min="14551" max="14551" width="11.7109375" style="254" customWidth="1"/>
    <col min="14552" max="14552" width="12.28515625" style="254" customWidth="1"/>
    <col min="14553" max="14556" width="10.140625" style="254" bestFit="1" customWidth="1"/>
    <col min="14557" max="14557" width="10.42578125" style="254" customWidth="1"/>
    <col min="14558" max="14558" width="9.85546875" style="254" customWidth="1"/>
    <col min="14559" max="14559" width="11" style="254" bestFit="1" customWidth="1"/>
    <col min="14560" max="14560" width="10.5703125" style="254" customWidth="1"/>
    <col min="14561" max="14561" width="11" style="254" bestFit="1" customWidth="1"/>
    <col min="14562" max="14562" width="9.28515625" style="254" bestFit="1" customWidth="1"/>
    <col min="14563" max="14563" width="9" style="254" customWidth="1"/>
    <col min="14564" max="14564" width="9.28515625" style="254" bestFit="1" customWidth="1"/>
    <col min="14565" max="14567" width="10.140625" style="254" bestFit="1" customWidth="1"/>
    <col min="14568" max="14568" width="11.28515625" style="254" bestFit="1" customWidth="1"/>
    <col min="14569" max="14569" width="10.85546875" style="254" customWidth="1"/>
    <col min="14570" max="14570" width="11.28515625" style="254" bestFit="1" customWidth="1"/>
    <col min="14571" max="14571" width="10.140625" style="254" bestFit="1" customWidth="1"/>
    <col min="14572" max="14572" width="7" style="254" customWidth="1"/>
    <col min="14573" max="14573" width="10.85546875" style="254" customWidth="1"/>
    <col min="14574" max="14574" width="11.7109375" style="254" customWidth="1"/>
    <col min="14575" max="14575" width="10.140625" style="254" customWidth="1"/>
    <col min="14576" max="14576" width="11" style="254" customWidth="1"/>
    <col min="14577" max="14577" width="2.5703125" style="254" customWidth="1"/>
    <col min="14578" max="14578" width="11.140625" style="254" customWidth="1"/>
    <col min="14579" max="14579" width="9.85546875" style="254" customWidth="1"/>
    <col min="14580" max="14580" width="13.42578125" style="254" customWidth="1"/>
    <col min="14581" max="14581" width="9.140625" style="254"/>
    <col min="14582" max="14582" width="16.85546875" style="254" customWidth="1"/>
    <col min="14583" max="14795" width="9.140625" style="254"/>
    <col min="14796" max="14796" width="4" style="254" customWidth="1"/>
    <col min="14797" max="14797" width="5.42578125" style="254" customWidth="1"/>
    <col min="14798" max="14798" width="49.42578125" style="254" customWidth="1"/>
    <col min="14799" max="14799" width="5" style="254" bestFit="1" customWidth="1"/>
    <col min="14800" max="14800" width="5.42578125" style="254" customWidth="1"/>
    <col min="14801" max="14801" width="3.7109375" style="254" bestFit="1" customWidth="1"/>
    <col min="14802" max="14802" width="9.140625" style="254" customWidth="1"/>
    <col min="14803" max="14803" width="11.28515625" style="254" bestFit="1" customWidth="1"/>
    <col min="14804" max="14804" width="10.28515625" style="254" customWidth="1"/>
    <col min="14805" max="14805" width="11.28515625" style="254" bestFit="1" customWidth="1"/>
    <col min="14806" max="14806" width="10.85546875" style="254" customWidth="1"/>
    <col min="14807" max="14807" width="11.7109375" style="254" customWidth="1"/>
    <col min="14808" max="14808" width="12.28515625" style="254" customWidth="1"/>
    <col min="14809" max="14812" width="10.140625" style="254" bestFit="1" customWidth="1"/>
    <col min="14813" max="14813" width="10.42578125" style="254" customWidth="1"/>
    <col min="14814" max="14814" width="9.85546875" style="254" customWidth="1"/>
    <col min="14815" max="14815" width="11" style="254" bestFit="1" customWidth="1"/>
    <col min="14816" max="14816" width="10.5703125" style="254" customWidth="1"/>
    <col min="14817" max="14817" width="11" style="254" bestFit="1" customWidth="1"/>
    <col min="14818" max="14818" width="9.28515625" style="254" bestFit="1" customWidth="1"/>
    <col min="14819" max="14819" width="9" style="254" customWidth="1"/>
    <col min="14820" max="14820" width="9.28515625" style="254" bestFit="1" customWidth="1"/>
    <col min="14821" max="14823" width="10.140625" style="254" bestFit="1" customWidth="1"/>
    <col min="14824" max="14824" width="11.28515625" style="254" bestFit="1" customWidth="1"/>
    <col min="14825" max="14825" width="10.85546875" style="254" customWidth="1"/>
    <col min="14826" max="14826" width="11.28515625" style="254" bestFit="1" customWidth="1"/>
    <col min="14827" max="14827" width="10.140625" style="254" bestFit="1" customWidth="1"/>
    <col min="14828" max="14828" width="7" style="254" customWidth="1"/>
    <col min="14829" max="14829" width="10.85546875" style="254" customWidth="1"/>
    <col min="14830" max="14830" width="11.7109375" style="254" customWidth="1"/>
    <col min="14831" max="14831" width="10.140625" style="254" customWidth="1"/>
    <col min="14832" max="14832" width="11" style="254" customWidth="1"/>
    <col min="14833" max="14833" width="2.5703125" style="254" customWidth="1"/>
    <col min="14834" max="14834" width="11.140625" style="254" customWidth="1"/>
    <col min="14835" max="14835" width="9.85546875" style="254" customWidth="1"/>
    <col min="14836" max="14836" width="13.42578125" style="254" customWidth="1"/>
    <col min="14837" max="14837" width="9.140625" style="254"/>
    <col min="14838" max="14838" width="16.85546875" style="254" customWidth="1"/>
    <col min="14839" max="15051" width="9.140625" style="254"/>
    <col min="15052" max="15052" width="4" style="254" customWidth="1"/>
    <col min="15053" max="15053" width="5.42578125" style="254" customWidth="1"/>
    <col min="15054" max="15054" width="49.42578125" style="254" customWidth="1"/>
    <col min="15055" max="15055" width="5" style="254" bestFit="1" customWidth="1"/>
    <col min="15056" max="15056" width="5.42578125" style="254" customWidth="1"/>
    <col min="15057" max="15057" width="3.7109375" style="254" bestFit="1" customWidth="1"/>
    <col min="15058" max="15058" width="9.140625" style="254" customWidth="1"/>
    <col min="15059" max="15059" width="11.28515625" style="254" bestFit="1" customWidth="1"/>
    <col min="15060" max="15060" width="10.28515625" style="254" customWidth="1"/>
    <col min="15061" max="15061" width="11.28515625" style="254" bestFit="1" customWidth="1"/>
    <col min="15062" max="15062" width="10.85546875" style="254" customWidth="1"/>
    <col min="15063" max="15063" width="11.7109375" style="254" customWidth="1"/>
    <col min="15064" max="15064" width="12.28515625" style="254" customWidth="1"/>
    <col min="15065" max="15068" width="10.140625" style="254" bestFit="1" customWidth="1"/>
    <col min="15069" max="15069" width="10.42578125" style="254" customWidth="1"/>
    <col min="15070" max="15070" width="9.85546875" style="254" customWidth="1"/>
    <col min="15071" max="15071" width="11" style="254" bestFit="1" customWidth="1"/>
    <col min="15072" max="15072" width="10.5703125" style="254" customWidth="1"/>
    <col min="15073" max="15073" width="11" style="254" bestFit="1" customWidth="1"/>
    <col min="15074" max="15074" width="9.28515625" style="254" bestFit="1" customWidth="1"/>
    <col min="15075" max="15075" width="9" style="254" customWidth="1"/>
    <col min="15076" max="15076" width="9.28515625" style="254" bestFit="1" customWidth="1"/>
    <col min="15077" max="15079" width="10.140625" style="254" bestFit="1" customWidth="1"/>
    <col min="15080" max="15080" width="11.28515625" style="254" bestFit="1" customWidth="1"/>
    <col min="15081" max="15081" width="10.85546875" style="254" customWidth="1"/>
    <col min="15082" max="15082" width="11.28515625" style="254" bestFit="1" customWidth="1"/>
    <col min="15083" max="15083" width="10.140625" style="254" bestFit="1" customWidth="1"/>
    <col min="15084" max="15084" width="7" style="254" customWidth="1"/>
    <col min="15085" max="15085" width="10.85546875" style="254" customWidth="1"/>
    <col min="15086" max="15086" width="11.7109375" style="254" customWidth="1"/>
    <col min="15087" max="15087" width="10.140625" style="254" customWidth="1"/>
    <col min="15088" max="15088" width="11" style="254" customWidth="1"/>
    <col min="15089" max="15089" width="2.5703125" style="254" customWidth="1"/>
    <col min="15090" max="15090" width="11.140625" style="254" customWidth="1"/>
    <col min="15091" max="15091" width="9.85546875" style="254" customWidth="1"/>
    <col min="15092" max="15092" width="13.42578125" style="254" customWidth="1"/>
    <col min="15093" max="15093" width="9.140625" style="254"/>
    <col min="15094" max="15094" width="16.85546875" style="254" customWidth="1"/>
    <col min="15095" max="15307" width="9.140625" style="254"/>
    <col min="15308" max="15308" width="4" style="254" customWidth="1"/>
    <col min="15309" max="15309" width="5.42578125" style="254" customWidth="1"/>
    <col min="15310" max="15310" width="49.42578125" style="254" customWidth="1"/>
    <col min="15311" max="15311" width="5" style="254" bestFit="1" customWidth="1"/>
    <col min="15312" max="15312" width="5.42578125" style="254" customWidth="1"/>
    <col min="15313" max="15313" width="3.7109375" style="254" bestFit="1" customWidth="1"/>
    <col min="15314" max="15314" width="9.140625" style="254" customWidth="1"/>
    <col min="15315" max="15315" width="11.28515625" style="254" bestFit="1" customWidth="1"/>
    <col min="15316" max="15316" width="10.28515625" style="254" customWidth="1"/>
    <col min="15317" max="15317" width="11.28515625" style="254" bestFit="1" customWidth="1"/>
    <col min="15318" max="15318" width="10.85546875" style="254" customWidth="1"/>
    <col min="15319" max="15319" width="11.7109375" style="254" customWidth="1"/>
    <col min="15320" max="15320" width="12.28515625" style="254" customWidth="1"/>
    <col min="15321" max="15324" width="10.140625" style="254" bestFit="1" customWidth="1"/>
    <col min="15325" max="15325" width="10.42578125" style="254" customWidth="1"/>
    <col min="15326" max="15326" width="9.85546875" style="254" customWidth="1"/>
    <col min="15327" max="15327" width="11" style="254" bestFit="1" customWidth="1"/>
    <col min="15328" max="15328" width="10.5703125" style="254" customWidth="1"/>
    <col min="15329" max="15329" width="11" style="254" bestFit="1" customWidth="1"/>
    <col min="15330" max="15330" width="9.28515625" style="254" bestFit="1" customWidth="1"/>
    <col min="15331" max="15331" width="9" style="254" customWidth="1"/>
    <col min="15332" max="15332" width="9.28515625" style="254" bestFit="1" customWidth="1"/>
    <col min="15333" max="15335" width="10.140625" style="254" bestFit="1" customWidth="1"/>
    <col min="15336" max="15336" width="11.28515625" style="254" bestFit="1" customWidth="1"/>
    <col min="15337" max="15337" width="10.85546875" style="254" customWidth="1"/>
    <col min="15338" max="15338" width="11.28515625" style="254" bestFit="1" customWidth="1"/>
    <col min="15339" max="15339" width="10.140625" style="254" bestFit="1" customWidth="1"/>
    <col min="15340" max="15340" width="7" style="254" customWidth="1"/>
    <col min="15341" max="15341" width="10.85546875" style="254" customWidth="1"/>
    <col min="15342" max="15342" width="11.7109375" style="254" customWidth="1"/>
    <col min="15343" max="15343" width="10.140625" style="254" customWidth="1"/>
    <col min="15344" max="15344" width="11" style="254" customWidth="1"/>
    <col min="15345" max="15345" width="2.5703125" style="254" customWidth="1"/>
    <col min="15346" max="15346" width="11.140625" style="254" customWidth="1"/>
    <col min="15347" max="15347" width="9.85546875" style="254" customWidth="1"/>
    <col min="15348" max="15348" width="13.42578125" style="254" customWidth="1"/>
    <col min="15349" max="15349" width="9.140625" style="254"/>
    <col min="15350" max="15350" width="16.85546875" style="254" customWidth="1"/>
    <col min="15351" max="15563" width="9.140625" style="254"/>
    <col min="15564" max="15564" width="4" style="254" customWidth="1"/>
    <col min="15565" max="15565" width="5.42578125" style="254" customWidth="1"/>
    <col min="15566" max="15566" width="49.42578125" style="254" customWidth="1"/>
    <col min="15567" max="15567" width="5" style="254" bestFit="1" customWidth="1"/>
    <col min="15568" max="15568" width="5.42578125" style="254" customWidth="1"/>
    <col min="15569" max="15569" width="3.7109375" style="254" bestFit="1" customWidth="1"/>
    <col min="15570" max="15570" width="9.140625" style="254" customWidth="1"/>
    <col min="15571" max="15571" width="11.28515625" style="254" bestFit="1" customWidth="1"/>
    <col min="15572" max="15572" width="10.28515625" style="254" customWidth="1"/>
    <col min="15573" max="15573" width="11.28515625" style="254" bestFit="1" customWidth="1"/>
    <col min="15574" max="15574" width="10.85546875" style="254" customWidth="1"/>
    <col min="15575" max="15575" width="11.7109375" style="254" customWidth="1"/>
    <col min="15576" max="15576" width="12.28515625" style="254" customWidth="1"/>
    <col min="15577" max="15580" width="10.140625" style="254" bestFit="1" customWidth="1"/>
    <col min="15581" max="15581" width="10.42578125" style="254" customWidth="1"/>
    <col min="15582" max="15582" width="9.85546875" style="254" customWidth="1"/>
    <col min="15583" max="15583" width="11" style="254" bestFit="1" customWidth="1"/>
    <col min="15584" max="15584" width="10.5703125" style="254" customWidth="1"/>
    <col min="15585" max="15585" width="11" style="254" bestFit="1" customWidth="1"/>
    <col min="15586" max="15586" width="9.28515625" style="254" bestFit="1" customWidth="1"/>
    <col min="15587" max="15587" width="9" style="254" customWidth="1"/>
    <col min="15588" max="15588" width="9.28515625" style="254" bestFit="1" customWidth="1"/>
    <col min="15589" max="15591" width="10.140625" style="254" bestFit="1" customWidth="1"/>
    <col min="15592" max="15592" width="11.28515625" style="254" bestFit="1" customWidth="1"/>
    <col min="15593" max="15593" width="10.85546875" style="254" customWidth="1"/>
    <col min="15594" max="15594" width="11.28515625" style="254" bestFit="1" customWidth="1"/>
    <col min="15595" max="15595" width="10.140625" style="254" bestFit="1" customWidth="1"/>
    <col min="15596" max="15596" width="7" style="254" customWidth="1"/>
    <col min="15597" max="15597" width="10.85546875" style="254" customWidth="1"/>
    <col min="15598" max="15598" width="11.7109375" style="254" customWidth="1"/>
    <col min="15599" max="15599" width="10.140625" style="254" customWidth="1"/>
    <col min="15600" max="15600" width="11" style="254" customWidth="1"/>
    <col min="15601" max="15601" width="2.5703125" style="254" customWidth="1"/>
    <col min="15602" max="15602" width="11.140625" style="254" customWidth="1"/>
    <col min="15603" max="15603" width="9.85546875" style="254" customWidth="1"/>
    <col min="15604" max="15604" width="13.42578125" style="254" customWidth="1"/>
    <col min="15605" max="15605" width="9.140625" style="254"/>
    <col min="15606" max="15606" width="16.85546875" style="254" customWidth="1"/>
    <col min="15607" max="15819" width="9.140625" style="254"/>
    <col min="15820" max="15820" width="4" style="254" customWidth="1"/>
    <col min="15821" max="15821" width="5.42578125" style="254" customWidth="1"/>
    <col min="15822" max="15822" width="49.42578125" style="254" customWidth="1"/>
    <col min="15823" max="15823" width="5" style="254" bestFit="1" customWidth="1"/>
    <col min="15824" max="15824" width="5.42578125" style="254" customWidth="1"/>
    <col min="15825" max="15825" width="3.7109375" style="254" bestFit="1" customWidth="1"/>
    <col min="15826" max="15826" width="9.140625" style="254" customWidth="1"/>
    <col min="15827" max="15827" width="11.28515625" style="254" bestFit="1" customWidth="1"/>
    <col min="15828" max="15828" width="10.28515625" style="254" customWidth="1"/>
    <col min="15829" max="15829" width="11.28515625" style="254" bestFit="1" customWidth="1"/>
    <col min="15830" max="15830" width="10.85546875" style="254" customWidth="1"/>
    <col min="15831" max="15831" width="11.7109375" style="254" customWidth="1"/>
    <col min="15832" max="15832" width="12.28515625" style="254" customWidth="1"/>
    <col min="15833" max="15836" width="10.140625" style="254" bestFit="1" customWidth="1"/>
    <col min="15837" max="15837" width="10.42578125" style="254" customWidth="1"/>
    <col min="15838" max="15838" width="9.85546875" style="254" customWidth="1"/>
    <col min="15839" max="15839" width="11" style="254" bestFit="1" customWidth="1"/>
    <col min="15840" max="15840" width="10.5703125" style="254" customWidth="1"/>
    <col min="15841" max="15841" width="11" style="254" bestFit="1" customWidth="1"/>
    <col min="15842" max="15842" width="9.28515625" style="254" bestFit="1" customWidth="1"/>
    <col min="15843" max="15843" width="9" style="254" customWidth="1"/>
    <col min="15844" max="15844" width="9.28515625" style="254" bestFit="1" customWidth="1"/>
    <col min="15845" max="15847" width="10.140625" style="254" bestFit="1" customWidth="1"/>
    <col min="15848" max="15848" width="11.28515625" style="254" bestFit="1" customWidth="1"/>
    <col min="15849" max="15849" width="10.85546875" style="254" customWidth="1"/>
    <col min="15850" max="15850" width="11.28515625" style="254" bestFit="1" customWidth="1"/>
    <col min="15851" max="15851" width="10.140625" style="254" bestFit="1" customWidth="1"/>
    <col min="15852" max="15852" width="7" style="254" customWidth="1"/>
    <col min="15853" max="15853" width="10.85546875" style="254" customWidth="1"/>
    <col min="15854" max="15854" width="11.7109375" style="254" customWidth="1"/>
    <col min="15855" max="15855" width="10.140625" style="254" customWidth="1"/>
    <col min="15856" max="15856" width="11" style="254" customWidth="1"/>
    <col min="15857" max="15857" width="2.5703125" style="254" customWidth="1"/>
    <col min="15858" max="15858" width="11.140625" style="254" customWidth="1"/>
    <col min="15859" max="15859" width="9.85546875" style="254" customWidth="1"/>
    <col min="15860" max="15860" width="13.42578125" style="254" customWidth="1"/>
    <col min="15861" max="15861" width="9.140625" style="254"/>
    <col min="15862" max="15862" width="16.85546875" style="254" customWidth="1"/>
    <col min="15863" max="16075" width="9.140625" style="254"/>
    <col min="16076" max="16076" width="4" style="254" customWidth="1"/>
    <col min="16077" max="16077" width="5.42578125" style="254" customWidth="1"/>
    <col min="16078" max="16078" width="49.42578125" style="254" customWidth="1"/>
    <col min="16079" max="16079" width="5" style="254" bestFit="1" customWidth="1"/>
    <col min="16080" max="16080" width="5.42578125" style="254" customWidth="1"/>
    <col min="16081" max="16081" width="3.7109375" style="254" bestFit="1" customWidth="1"/>
    <col min="16082" max="16082" width="9.140625" style="254" customWidth="1"/>
    <col min="16083" max="16083" width="11.28515625" style="254" bestFit="1" customWidth="1"/>
    <col min="16084" max="16084" width="10.28515625" style="254" customWidth="1"/>
    <col min="16085" max="16085" width="11.28515625" style="254" bestFit="1" customWidth="1"/>
    <col min="16086" max="16086" width="10.85546875" style="254" customWidth="1"/>
    <col min="16087" max="16087" width="11.7109375" style="254" customWidth="1"/>
    <col min="16088" max="16088" width="12.28515625" style="254" customWidth="1"/>
    <col min="16089" max="16092" width="10.140625" style="254" bestFit="1" customWidth="1"/>
    <col min="16093" max="16093" width="10.42578125" style="254" customWidth="1"/>
    <col min="16094" max="16094" width="9.85546875" style="254" customWidth="1"/>
    <col min="16095" max="16095" width="11" style="254" bestFit="1" customWidth="1"/>
    <col min="16096" max="16096" width="10.5703125" style="254" customWidth="1"/>
    <col min="16097" max="16097" width="11" style="254" bestFit="1" customWidth="1"/>
    <col min="16098" max="16098" width="9.28515625" style="254" bestFit="1" customWidth="1"/>
    <col min="16099" max="16099" width="9" style="254" customWidth="1"/>
    <col min="16100" max="16100" width="9.28515625" style="254" bestFit="1" customWidth="1"/>
    <col min="16101" max="16103" width="10.140625" style="254" bestFit="1" customWidth="1"/>
    <col min="16104" max="16104" width="11.28515625" style="254" bestFit="1" customWidth="1"/>
    <col min="16105" max="16105" width="10.85546875" style="254" customWidth="1"/>
    <col min="16106" max="16106" width="11.28515625" style="254" bestFit="1" customWidth="1"/>
    <col min="16107" max="16107" width="10.140625" style="254" bestFit="1" customWidth="1"/>
    <col min="16108" max="16108" width="7" style="254" customWidth="1"/>
    <col min="16109" max="16109" width="10.85546875" style="254" customWidth="1"/>
    <col min="16110" max="16110" width="11.7109375" style="254" customWidth="1"/>
    <col min="16111" max="16111" width="10.140625" style="254" customWidth="1"/>
    <col min="16112" max="16112" width="11" style="254" customWidth="1"/>
    <col min="16113" max="16113" width="2.5703125" style="254" customWidth="1"/>
    <col min="16114" max="16114" width="11.140625" style="254" customWidth="1"/>
    <col min="16115" max="16115" width="9.85546875" style="254" customWidth="1"/>
    <col min="16116" max="16116" width="13.42578125" style="254" customWidth="1"/>
    <col min="16117" max="16117" width="9.140625" style="254"/>
    <col min="16118" max="16118" width="16.85546875" style="254" customWidth="1"/>
    <col min="16119" max="16384" width="9.140625" style="254"/>
  </cols>
  <sheetData>
    <row r="1" spans="1:148" s="2" customFormat="1" ht="12.75">
      <c r="A1" s="1" t="s">
        <v>759</v>
      </c>
      <c r="E1" s="3"/>
      <c r="H1" s="3"/>
      <c r="K1" s="3"/>
      <c r="W1" s="3"/>
      <c r="Z1" s="3"/>
      <c r="AC1" s="3"/>
      <c r="AR1" s="3"/>
      <c r="AU1" s="3"/>
      <c r="AX1" s="3"/>
      <c r="BA1" s="3"/>
      <c r="BD1" s="3"/>
      <c r="BG1" s="3"/>
      <c r="BV1" s="3"/>
      <c r="BY1" s="3"/>
      <c r="CQ1" s="3"/>
      <c r="CT1" s="3"/>
      <c r="CW1" s="3"/>
      <c r="CZ1" s="3"/>
      <c r="DF1" s="3"/>
      <c r="DI1" s="3"/>
      <c r="DL1" s="3"/>
      <c r="DO1" s="3"/>
      <c r="DR1" s="3"/>
      <c r="ER1" s="61"/>
    </row>
    <row r="2" spans="1:148" s="253" customFormat="1" ht="54.75" customHeight="1">
      <c r="A2" s="399" t="s">
        <v>534</v>
      </c>
      <c r="B2" s="400"/>
      <c r="C2" s="400"/>
      <c r="D2" s="401"/>
    </row>
    <row r="3" spans="1:148" s="253" customFormat="1" ht="18" customHeight="1">
      <c r="A3" s="402" t="s">
        <v>535</v>
      </c>
      <c r="B3" s="405" t="s">
        <v>536</v>
      </c>
      <c r="C3" s="405" t="s">
        <v>537</v>
      </c>
      <c r="D3" s="406" t="s">
        <v>538</v>
      </c>
    </row>
    <row r="4" spans="1:148">
      <c r="A4" s="403"/>
      <c r="B4" s="405"/>
      <c r="C4" s="405"/>
      <c r="D4" s="407"/>
    </row>
    <row r="5" spans="1:148" ht="39.75" customHeight="1">
      <c r="A5" s="404"/>
      <c r="B5" s="255"/>
      <c r="C5" s="405"/>
      <c r="D5" s="408"/>
    </row>
    <row r="6" spans="1:148" s="261" customFormat="1">
      <c r="A6" s="256"/>
      <c r="B6" s="257" t="s">
        <v>539</v>
      </c>
      <c r="C6" s="258">
        <f>SUM(C8:C15)</f>
        <v>333700</v>
      </c>
      <c r="D6" s="259">
        <f>SUM(D9:D14)</f>
        <v>10925</v>
      </c>
      <c r="E6" s="260"/>
    </row>
    <row r="7" spans="1:148" s="253" customFormat="1">
      <c r="A7" s="256"/>
      <c r="B7" s="262" t="s">
        <v>540</v>
      </c>
      <c r="C7" s="259"/>
      <c r="D7" s="259"/>
    </row>
    <row r="8" spans="1:148" s="253" customFormat="1">
      <c r="A8" s="256"/>
      <c r="B8" s="263" t="s">
        <v>541</v>
      </c>
      <c r="C8" s="264"/>
      <c r="D8" s="264"/>
    </row>
    <row r="9" spans="1:148" s="253" customFormat="1" ht="36">
      <c r="A9" s="256">
        <v>1</v>
      </c>
      <c r="B9" s="265" t="s">
        <v>542</v>
      </c>
      <c r="C9" s="266">
        <v>50000</v>
      </c>
      <c r="D9" s="266"/>
    </row>
    <row r="10" spans="1:148" s="253" customFormat="1" ht="24.75" customHeight="1">
      <c r="A10" s="256">
        <v>2</v>
      </c>
      <c r="B10" s="265" t="s">
        <v>543</v>
      </c>
      <c r="C10" s="266">
        <v>0</v>
      </c>
      <c r="D10" s="266">
        <v>10925</v>
      </c>
    </row>
    <row r="11" spans="1:148" s="253" customFormat="1">
      <c r="A11" s="256"/>
      <c r="B11" s="267" t="s">
        <v>544</v>
      </c>
      <c r="C11" s="266"/>
      <c r="D11" s="266"/>
    </row>
    <row r="12" spans="1:148" s="253" customFormat="1" ht="36">
      <c r="A12" s="256">
        <v>3</v>
      </c>
      <c r="B12" s="268" t="s">
        <v>545</v>
      </c>
      <c r="C12" s="266">
        <v>100000</v>
      </c>
      <c r="D12" s="266"/>
    </row>
    <row r="13" spans="1:148" s="253" customFormat="1" ht="25.5" customHeight="1">
      <c r="A13" s="256">
        <v>4</v>
      </c>
      <c r="B13" s="268" t="s">
        <v>546</v>
      </c>
      <c r="C13" s="266">
        <v>60000</v>
      </c>
      <c r="D13" s="266"/>
    </row>
    <row r="14" spans="1:148" s="253" customFormat="1" ht="54">
      <c r="A14" s="256">
        <v>5</v>
      </c>
      <c r="B14" s="269" t="s">
        <v>547</v>
      </c>
      <c r="C14" s="266">
        <v>3700</v>
      </c>
      <c r="D14" s="266"/>
    </row>
    <row r="15" spans="1:148" s="253" customFormat="1">
      <c r="A15" s="256">
        <v>6</v>
      </c>
      <c r="B15" s="265" t="s">
        <v>548</v>
      </c>
      <c r="C15" s="266">
        <v>120000</v>
      </c>
      <c r="D15" s="266"/>
    </row>
    <row r="16" spans="1:148" s="261" customFormat="1">
      <c r="A16" s="256"/>
      <c r="B16" s="257" t="s">
        <v>549</v>
      </c>
      <c r="C16" s="259">
        <f>SUM(C18:C39)</f>
        <v>4792014</v>
      </c>
      <c r="D16" s="259">
        <f>SUM(D17:D38)</f>
        <v>3113999.92</v>
      </c>
      <c r="E16" s="260"/>
    </row>
    <row r="17" spans="1:4" s="253" customFormat="1">
      <c r="A17" s="256"/>
      <c r="B17" s="262" t="s">
        <v>550</v>
      </c>
      <c r="C17" s="264">
        <v>0</v>
      </c>
      <c r="D17" s="264"/>
    </row>
    <row r="18" spans="1:4" s="253" customFormat="1">
      <c r="A18" s="256"/>
      <c r="B18" s="263" t="s">
        <v>541</v>
      </c>
      <c r="C18" s="264"/>
      <c r="D18" s="264"/>
    </row>
    <row r="19" spans="1:4" s="253" customFormat="1">
      <c r="A19" s="256">
        <v>7</v>
      </c>
      <c r="B19" s="265" t="s">
        <v>551</v>
      </c>
      <c r="C19" s="266">
        <v>95000</v>
      </c>
      <c r="D19" s="266"/>
    </row>
    <row r="20" spans="1:4" s="253" customFormat="1" ht="36">
      <c r="A20" s="256">
        <v>8</v>
      </c>
      <c r="B20" s="265" t="s">
        <v>552</v>
      </c>
      <c r="C20" s="266">
        <v>4203012</v>
      </c>
      <c r="D20" s="266"/>
    </row>
    <row r="21" spans="1:4" s="253" customFormat="1">
      <c r="A21" s="256"/>
      <c r="B21" s="267" t="s">
        <v>544</v>
      </c>
      <c r="C21" s="266"/>
      <c r="D21" s="266"/>
    </row>
    <row r="22" spans="1:4" s="253" customFormat="1" ht="36">
      <c r="A22" s="256">
        <v>9</v>
      </c>
      <c r="B22" s="268" t="s">
        <v>553</v>
      </c>
      <c r="C22" s="266">
        <v>100000</v>
      </c>
      <c r="D22" s="266"/>
    </row>
    <row r="23" spans="1:4" s="261" customFormat="1">
      <c r="A23" s="256"/>
      <c r="B23" s="262" t="s">
        <v>554</v>
      </c>
      <c r="C23" s="264">
        <v>0</v>
      </c>
      <c r="D23" s="264"/>
    </row>
    <row r="24" spans="1:4" s="253" customFormat="1">
      <c r="A24" s="256"/>
      <c r="B24" s="263" t="s">
        <v>541</v>
      </c>
      <c r="C24" s="264"/>
      <c r="D24" s="264"/>
    </row>
    <row r="25" spans="1:4" s="253" customFormat="1" ht="36">
      <c r="A25" s="256">
        <v>10</v>
      </c>
      <c r="B25" s="268" t="s">
        <v>555</v>
      </c>
      <c r="C25" s="266">
        <v>1473</v>
      </c>
      <c r="D25" s="266"/>
    </row>
    <row r="26" spans="1:4" s="253" customFormat="1" ht="54">
      <c r="A26" s="256">
        <v>11</v>
      </c>
      <c r="B26" s="268" t="s">
        <v>556</v>
      </c>
      <c r="C26" s="266">
        <v>1591</v>
      </c>
      <c r="D26" s="266"/>
    </row>
    <row r="27" spans="1:4" s="253" customFormat="1" ht="36">
      <c r="A27" s="256">
        <v>12</v>
      </c>
      <c r="B27" s="268" t="s">
        <v>557</v>
      </c>
      <c r="C27" s="266">
        <v>83983</v>
      </c>
      <c r="D27" s="266"/>
    </row>
    <row r="28" spans="1:4" s="253" customFormat="1" ht="54">
      <c r="A28" s="256">
        <v>13</v>
      </c>
      <c r="B28" s="265" t="s">
        <v>558</v>
      </c>
      <c r="C28" s="266">
        <v>6210</v>
      </c>
      <c r="D28" s="266"/>
    </row>
    <row r="29" spans="1:4" s="253" customFormat="1" ht="36">
      <c r="A29" s="256">
        <v>14</v>
      </c>
      <c r="B29" s="265" t="s">
        <v>559</v>
      </c>
      <c r="C29" s="266">
        <v>2000</v>
      </c>
      <c r="D29" s="266"/>
    </row>
    <row r="30" spans="1:4" s="253" customFormat="1" ht="36">
      <c r="A30" s="256">
        <v>15</v>
      </c>
      <c r="B30" s="270" t="s">
        <v>560</v>
      </c>
      <c r="C30" s="266">
        <v>14500</v>
      </c>
      <c r="D30" s="266"/>
    </row>
    <row r="31" spans="1:4" s="253" customFormat="1" ht="36">
      <c r="A31" s="256">
        <v>16</v>
      </c>
      <c r="B31" s="270" t="s">
        <v>561</v>
      </c>
      <c r="C31" s="266">
        <v>45600</v>
      </c>
      <c r="D31" s="266"/>
    </row>
    <row r="32" spans="1:4" s="253" customFormat="1" ht="54">
      <c r="A32" s="256">
        <v>17</v>
      </c>
      <c r="B32" s="270" t="s">
        <v>562</v>
      </c>
      <c r="C32" s="266">
        <v>44400</v>
      </c>
      <c r="D32" s="266"/>
    </row>
    <row r="33" spans="1:5" s="253" customFormat="1">
      <c r="A33" s="256"/>
      <c r="B33" s="267" t="s">
        <v>544</v>
      </c>
      <c r="C33" s="266"/>
      <c r="D33" s="266"/>
    </row>
    <row r="34" spans="1:5" s="253" customFormat="1" ht="36">
      <c r="A34" s="256">
        <v>18</v>
      </c>
      <c r="B34" s="268" t="s">
        <v>563</v>
      </c>
      <c r="C34" s="266">
        <v>194245</v>
      </c>
      <c r="D34" s="266"/>
    </row>
    <row r="35" spans="1:5" s="253" customFormat="1" ht="36">
      <c r="A35" s="256">
        <v>19</v>
      </c>
      <c r="B35" s="268" t="s">
        <v>564</v>
      </c>
      <c r="C35" s="266">
        <v>0</v>
      </c>
      <c r="D35" s="266">
        <v>1980000</v>
      </c>
    </row>
    <row r="36" spans="1:5" s="273" customFormat="1">
      <c r="A36" s="271"/>
      <c r="B36" s="262" t="s">
        <v>565</v>
      </c>
      <c r="C36" s="272"/>
      <c r="D36" s="264"/>
    </row>
    <row r="37" spans="1:5" s="253" customFormat="1">
      <c r="A37" s="256"/>
      <c r="B37" s="267" t="s">
        <v>544</v>
      </c>
      <c r="C37" s="266"/>
      <c r="D37" s="266"/>
    </row>
    <row r="38" spans="1:5" s="253" customFormat="1">
      <c r="A38" s="256">
        <v>20</v>
      </c>
      <c r="B38" s="265" t="s">
        <v>566</v>
      </c>
      <c r="C38" s="266">
        <v>0</v>
      </c>
      <c r="D38" s="266">
        <v>1133999.92</v>
      </c>
    </row>
    <row r="39" spans="1:5" s="273" customFormat="1">
      <c r="A39" s="271"/>
      <c r="B39" s="262"/>
      <c r="C39" s="272"/>
      <c r="D39" s="264"/>
    </row>
    <row r="40" spans="1:5" s="261" customFormat="1">
      <c r="A40" s="256"/>
      <c r="B40" s="257" t="s">
        <v>567</v>
      </c>
      <c r="C40" s="274">
        <f>SUM(C41:C43)</f>
        <v>4480</v>
      </c>
      <c r="D40" s="275">
        <v>125937</v>
      </c>
      <c r="E40" s="260"/>
    </row>
    <row r="41" spans="1:5" s="261" customFormat="1">
      <c r="A41" s="256"/>
      <c r="B41" s="262" t="s">
        <v>568</v>
      </c>
      <c r="C41" s="264"/>
      <c r="D41" s="264"/>
    </row>
    <row r="42" spans="1:5" s="253" customFormat="1">
      <c r="A42" s="256"/>
      <c r="B42" s="263" t="s">
        <v>541</v>
      </c>
      <c r="C42" s="264"/>
      <c r="D42" s="264"/>
    </row>
    <row r="43" spans="1:5" s="253" customFormat="1" ht="54">
      <c r="A43" s="256">
        <v>21</v>
      </c>
      <c r="B43" s="265" t="s">
        <v>569</v>
      </c>
      <c r="C43" s="266">
        <v>4480</v>
      </c>
      <c r="D43" s="266">
        <v>125937</v>
      </c>
    </row>
    <row r="44" spans="1:5" s="253" customFormat="1">
      <c r="A44" s="256"/>
      <c r="B44" s="257" t="s">
        <v>570</v>
      </c>
      <c r="C44" s="274">
        <f>SUM(C45:C71)</f>
        <v>286500</v>
      </c>
      <c r="D44" s="264">
        <v>0</v>
      </c>
    </row>
    <row r="45" spans="1:5" s="253" customFormat="1">
      <c r="A45" s="256"/>
      <c r="B45" s="262" t="s">
        <v>571</v>
      </c>
      <c r="C45" s="264"/>
      <c r="D45" s="264"/>
    </row>
    <row r="46" spans="1:5" s="253" customFormat="1">
      <c r="A46" s="256"/>
      <c r="B46" s="263" t="s">
        <v>541</v>
      </c>
      <c r="C46" s="266">
        <v>0</v>
      </c>
      <c r="D46" s="266"/>
    </row>
    <row r="47" spans="1:5" s="253" customFormat="1">
      <c r="A47" s="262">
        <v>22</v>
      </c>
      <c r="B47" s="265" t="s">
        <v>572</v>
      </c>
      <c r="C47" s="266">
        <v>2500</v>
      </c>
      <c r="D47" s="266"/>
    </row>
    <row r="48" spans="1:5" s="253" customFormat="1">
      <c r="A48" s="262">
        <v>23</v>
      </c>
      <c r="B48" s="265" t="s">
        <v>573</v>
      </c>
      <c r="C48" s="266">
        <v>1000</v>
      </c>
      <c r="D48" s="266"/>
    </row>
    <row r="49" spans="1:4" s="253" customFormat="1">
      <c r="A49" s="256"/>
      <c r="B49" s="267" t="s">
        <v>544</v>
      </c>
      <c r="C49" s="266">
        <v>0</v>
      </c>
      <c r="D49" s="266"/>
    </row>
    <row r="50" spans="1:4" s="253" customFormat="1">
      <c r="A50" s="262">
        <v>24</v>
      </c>
      <c r="B50" s="265" t="s">
        <v>574</v>
      </c>
      <c r="C50" s="266">
        <v>6000</v>
      </c>
      <c r="D50" s="266"/>
    </row>
    <row r="51" spans="1:4" s="253" customFormat="1">
      <c r="A51" s="256"/>
      <c r="B51" s="262" t="s">
        <v>575</v>
      </c>
      <c r="C51" s="266">
        <v>0</v>
      </c>
      <c r="D51" s="264"/>
    </row>
    <row r="52" spans="1:4" s="253" customFormat="1">
      <c r="A52" s="256"/>
      <c r="B52" s="263" t="s">
        <v>541</v>
      </c>
      <c r="C52" s="266">
        <v>0</v>
      </c>
      <c r="D52" s="266"/>
    </row>
    <row r="53" spans="1:4" s="253" customFormat="1" ht="36">
      <c r="A53" s="262">
        <v>25</v>
      </c>
      <c r="B53" s="265" t="s">
        <v>576</v>
      </c>
      <c r="C53" s="266">
        <v>25000</v>
      </c>
      <c r="D53" s="266"/>
    </row>
    <row r="54" spans="1:4" s="253" customFormat="1">
      <c r="A54" s="256"/>
      <c r="B54" s="267" t="s">
        <v>544</v>
      </c>
      <c r="C54" s="266">
        <v>0</v>
      </c>
      <c r="D54" s="266"/>
    </row>
    <row r="55" spans="1:4" s="253" customFormat="1">
      <c r="A55" s="262">
        <v>26</v>
      </c>
      <c r="B55" s="265" t="s">
        <v>577</v>
      </c>
      <c r="C55" s="266">
        <v>3600</v>
      </c>
      <c r="D55" s="266"/>
    </row>
    <row r="56" spans="1:4" s="253" customFormat="1">
      <c r="A56" s="256"/>
      <c r="B56" s="262" t="s">
        <v>578</v>
      </c>
      <c r="C56" s="266">
        <v>0</v>
      </c>
      <c r="D56" s="264"/>
    </row>
    <row r="57" spans="1:4" s="253" customFormat="1">
      <c r="A57" s="256"/>
      <c r="B57" s="263" t="s">
        <v>541</v>
      </c>
      <c r="C57" s="266">
        <v>0</v>
      </c>
      <c r="D57" s="266"/>
    </row>
    <row r="58" spans="1:4" s="253" customFormat="1" ht="36">
      <c r="A58" s="262">
        <v>27</v>
      </c>
      <c r="B58" s="265" t="s">
        <v>579</v>
      </c>
      <c r="C58" s="266">
        <v>160000</v>
      </c>
      <c r="D58" s="266"/>
    </row>
    <row r="59" spans="1:4" s="253" customFormat="1" ht="36">
      <c r="A59" s="262">
        <v>28</v>
      </c>
      <c r="B59" s="265" t="s">
        <v>580</v>
      </c>
      <c r="C59" s="266">
        <v>4000</v>
      </c>
      <c r="D59" s="266"/>
    </row>
    <row r="60" spans="1:4" s="261" customFormat="1">
      <c r="A60" s="262">
        <v>29</v>
      </c>
      <c r="B60" s="265" t="s">
        <v>581</v>
      </c>
      <c r="C60" s="266">
        <v>2000</v>
      </c>
      <c r="D60" s="264"/>
    </row>
    <row r="61" spans="1:4" s="253" customFormat="1">
      <c r="A61" s="256"/>
      <c r="B61" s="267" t="s">
        <v>544</v>
      </c>
      <c r="C61" s="266">
        <v>0</v>
      </c>
      <c r="D61" s="266"/>
    </row>
    <row r="62" spans="1:4" s="253" customFormat="1" ht="36">
      <c r="A62" s="262">
        <v>30</v>
      </c>
      <c r="B62" s="265" t="s">
        <v>582</v>
      </c>
      <c r="C62" s="266">
        <v>10000</v>
      </c>
      <c r="D62" s="266"/>
    </row>
    <row r="63" spans="1:4" s="253" customFormat="1">
      <c r="A63" s="256"/>
      <c r="B63" s="262" t="s">
        <v>583</v>
      </c>
      <c r="C63" s="266">
        <v>0</v>
      </c>
      <c r="D63" s="264"/>
    </row>
    <row r="64" spans="1:4" s="253" customFormat="1">
      <c r="A64" s="256"/>
      <c r="B64" s="263" t="s">
        <v>541</v>
      </c>
      <c r="C64" s="266">
        <v>0</v>
      </c>
      <c r="D64" s="264"/>
    </row>
    <row r="65" spans="1:5" s="253" customFormat="1">
      <c r="A65" s="256">
        <v>31</v>
      </c>
      <c r="B65" s="270" t="s">
        <v>584</v>
      </c>
      <c r="C65" s="266">
        <v>45000</v>
      </c>
      <c r="D65" s="266"/>
    </row>
    <row r="66" spans="1:5" s="253" customFormat="1">
      <c r="A66" s="256"/>
      <c r="B66" s="267" t="s">
        <v>544</v>
      </c>
      <c r="C66" s="266">
        <v>0</v>
      </c>
      <c r="D66" s="266"/>
    </row>
    <row r="67" spans="1:5" s="253" customFormat="1">
      <c r="A67" s="262">
        <v>32</v>
      </c>
      <c r="B67" s="265" t="s">
        <v>585</v>
      </c>
      <c r="C67" s="266">
        <v>3600</v>
      </c>
      <c r="D67" s="266"/>
    </row>
    <row r="68" spans="1:5" s="253" customFormat="1" ht="36">
      <c r="A68" s="262">
        <v>33</v>
      </c>
      <c r="B68" s="265" t="s">
        <v>586</v>
      </c>
      <c r="C68" s="266">
        <v>10800</v>
      </c>
      <c r="D68" s="266"/>
    </row>
    <row r="69" spans="1:5" s="253" customFormat="1">
      <c r="A69" s="256"/>
      <c r="B69" s="262" t="s">
        <v>587</v>
      </c>
      <c r="C69" s="266">
        <v>0</v>
      </c>
      <c r="D69" s="264"/>
    </row>
    <row r="70" spans="1:5" s="253" customFormat="1">
      <c r="A70" s="256"/>
      <c r="B70" s="267" t="s">
        <v>544</v>
      </c>
      <c r="C70" s="266">
        <v>0</v>
      </c>
      <c r="D70" s="266"/>
    </row>
    <row r="71" spans="1:5" s="253" customFormat="1">
      <c r="A71" s="262">
        <v>34</v>
      </c>
      <c r="B71" s="265" t="s">
        <v>588</v>
      </c>
      <c r="C71" s="266">
        <v>13000</v>
      </c>
      <c r="D71" s="266"/>
    </row>
    <row r="72" spans="1:5" s="253" customFormat="1">
      <c r="A72" s="256"/>
      <c r="B72" s="257" t="s">
        <v>589</v>
      </c>
      <c r="C72" s="274">
        <f>SUM(C74:C206)</f>
        <v>11835297.199999999</v>
      </c>
      <c r="D72" s="258">
        <f>SUM(D74:D206)</f>
        <v>13316768.09</v>
      </c>
      <c r="E72" s="276"/>
    </row>
    <row r="73" spans="1:5" s="261" customFormat="1">
      <c r="A73" s="256"/>
      <c r="B73" s="262" t="s">
        <v>590</v>
      </c>
      <c r="C73" s="264"/>
      <c r="D73" s="264"/>
    </row>
    <row r="74" spans="1:5" s="253" customFormat="1">
      <c r="A74" s="256"/>
      <c r="B74" s="263" t="s">
        <v>541</v>
      </c>
      <c r="C74" s="264"/>
      <c r="D74" s="264"/>
    </row>
    <row r="75" spans="1:5" s="253" customFormat="1" ht="54">
      <c r="A75" s="262">
        <v>35</v>
      </c>
      <c r="B75" s="265" t="s">
        <v>591</v>
      </c>
      <c r="C75" s="266">
        <v>360000</v>
      </c>
      <c r="D75" s="266"/>
    </row>
    <row r="76" spans="1:5" s="253" customFormat="1" ht="36">
      <c r="A76" s="262">
        <v>36</v>
      </c>
      <c r="B76" s="265" t="s">
        <v>592</v>
      </c>
      <c r="C76" s="266">
        <v>562642</v>
      </c>
      <c r="D76" s="266"/>
    </row>
    <row r="77" spans="1:5" s="253" customFormat="1" ht="39" customHeight="1">
      <c r="A77" s="262">
        <v>37</v>
      </c>
      <c r="B77" s="265" t="s">
        <v>593</v>
      </c>
      <c r="C77" s="266">
        <v>60000</v>
      </c>
      <c r="D77" s="266"/>
    </row>
    <row r="78" spans="1:5" s="253" customFormat="1" ht="33" customHeight="1">
      <c r="A78" s="262">
        <v>38</v>
      </c>
      <c r="B78" s="265" t="s">
        <v>594</v>
      </c>
      <c r="C78" s="266">
        <v>8500</v>
      </c>
      <c r="D78" s="266"/>
    </row>
    <row r="79" spans="1:5" s="253" customFormat="1">
      <c r="A79" s="256"/>
      <c r="B79" s="267" t="s">
        <v>544</v>
      </c>
      <c r="C79" s="266">
        <v>0</v>
      </c>
      <c r="D79" s="266"/>
    </row>
    <row r="80" spans="1:5" s="253" customFormat="1" ht="27.75" customHeight="1">
      <c r="A80" s="262">
        <v>39</v>
      </c>
      <c r="B80" s="265" t="s">
        <v>595</v>
      </c>
      <c r="C80" s="266">
        <v>12500</v>
      </c>
      <c r="D80" s="266"/>
    </row>
    <row r="81" spans="1:4" s="253" customFormat="1" ht="54">
      <c r="A81" s="262">
        <v>40</v>
      </c>
      <c r="B81" s="265" t="s">
        <v>596</v>
      </c>
      <c r="C81" s="266">
        <v>12500</v>
      </c>
      <c r="D81" s="266"/>
    </row>
    <row r="82" spans="1:4" s="261" customFormat="1">
      <c r="A82" s="256"/>
      <c r="B82" s="262" t="s">
        <v>597</v>
      </c>
      <c r="C82" s="266">
        <v>0</v>
      </c>
      <c r="D82" s="264"/>
    </row>
    <row r="83" spans="1:4" s="253" customFormat="1">
      <c r="A83" s="256"/>
      <c r="B83" s="263" t="s">
        <v>541</v>
      </c>
      <c r="C83" s="266">
        <v>0</v>
      </c>
      <c r="D83" s="266"/>
    </row>
    <row r="84" spans="1:4" s="261" customFormat="1" ht="36">
      <c r="A84" s="256">
        <v>41</v>
      </c>
      <c r="B84" s="265" t="s">
        <v>598</v>
      </c>
      <c r="C84" s="266">
        <v>0</v>
      </c>
      <c r="D84" s="266">
        <v>1051580</v>
      </c>
    </row>
    <row r="85" spans="1:4" s="261" customFormat="1">
      <c r="A85" s="256"/>
      <c r="B85" s="262" t="s">
        <v>599</v>
      </c>
      <c r="C85" s="266">
        <v>0</v>
      </c>
      <c r="D85" s="264"/>
    </row>
    <row r="86" spans="1:4" s="253" customFormat="1">
      <c r="A86" s="256"/>
      <c r="B86" s="263" t="s">
        <v>541</v>
      </c>
      <c r="C86" s="266">
        <v>0</v>
      </c>
      <c r="D86" s="264"/>
    </row>
    <row r="87" spans="1:4" s="253" customFormat="1" ht="36">
      <c r="A87" s="262">
        <v>42</v>
      </c>
      <c r="B87" s="268" t="s">
        <v>600</v>
      </c>
      <c r="C87" s="266">
        <v>50000</v>
      </c>
      <c r="D87" s="266"/>
    </row>
    <row r="88" spans="1:4" s="253" customFormat="1">
      <c r="A88" s="262">
        <v>43</v>
      </c>
      <c r="B88" s="268" t="s">
        <v>601</v>
      </c>
      <c r="C88" s="266">
        <v>52000</v>
      </c>
      <c r="D88" s="266"/>
    </row>
    <row r="89" spans="1:4" s="253" customFormat="1" ht="36">
      <c r="A89" s="262">
        <v>44</v>
      </c>
      <c r="B89" s="268" t="s">
        <v>602</v>
      </c>
      <c r="C89" s="266">
        <v>62000</v>
      </c>
      <c r="D89" s="266"/>
    </row>
    <row r="90" spans="1:4" s="253" customFormat="1" ht="36">
      <c r="A90" s="262">
        <v>45</v>
      </c>
      <c r="B90" s="265" t="s">
        <v>603</v>
      </c>
      <c r="C90" s="266">
        <v>24000</v>
      </c>
      <c r="D90" s="266"/>
    </row>
    <row r="91" spans="1:4" s="253" customFormat="1" ht="36">
      <c r="A91" s="262">
        <v>46</v>
      </c>
      <c r="B91" s="268" t="s">
        <v>604</v>
      </c>
      <c r="C91" s="266">
        <v>50000</v>
      </c>
      <c r="D91" s="266"/>
    </row>
    <row r="92" spans="1:4" s="253" customFormat="1" ht="36">
      <c r="A92" s="262">
        <v>47</v>
      </c>
      <c r="B92" s="268" t="s">
        <v>605</v>
      </c>
      <c r="C92" s="266">
        <v>34000</v>
      </c>
      <c r="D92" s="266"/>
    </row>
    <row r="93" spans="1:4" s="253" customFormat="1" ht="36">
      <c r="A93" s="262">
        <v>48</v>
      </c>
      <c r="B93" s="268" t="s">
        <v>606</v>
      </c>
      <c r="C93" s="266">
        <v>82000</v>
      </c>
      <c r="D93" s="266"/>
    </row>
    <row r="94" spans="1:4" s="253" customFormat="1">
      <c r="A94" s="262">
        <v>49</v>
      </c>
      <c r="B94" s="268" t="s">
        <v>607</v>
      </c>
      <c r="C94" s="266">
        <v>122000</v>
      </c>
      <c r="D94" s="266"/>
    </row>
    <row r="95" spans="1:4" s="253" customFormat="1">
      <c r="A95" s="262">
        <v>50</v>
      </c>
      <c r="B95" s="268" t="s">
        <v>608</v>
      </c>
      <c r="C95" s="266">
        <v>53815</v>
      </c>
      <c r="D95" s="266"/>
    </row>
    <row r="96" spans="1:4" s="253" customFormat="1" ht="36">
      <c r="A96" s="262">
        <v>51</v>
      </c>
      <c r="B96" s="268" t="s">
        <v>609</v>
      </c>
      <c r="C96" s="266">
        <v>70000</v>
      </c>
      <c r="D96" s="266"/>
    </row>
    <row r="97" spans="1:4" s="253" customFormat="1">
      <c r="A97" s="262">
        <v>52</v>
      </c>
      <c r="B97" s="268" t="s">
        <v>610</v>
      </c>
      <c r="C97" s="266">
        <v>47800</v>
      </c>
      <c r="D97" s="266"/>
    </row>
    <row r="98" spans="1:4" s="253" customFormat="1">
      <c r="A98" s="262">
        <v>53</v>
      </c>
      <c r="B98" s="270" t="s">
        <v>611</v>
      </c>
      <c r="C98" s="266">
        <v>20000</v>
      </c>
      <c r="D98" s="266"/>
    </row>
    <row r="99" spans="1:4" s="253" customFormat="1">
      <c r="A99" s="262">
        <v>54</v>
      </c>
      <c r="B99" s="268" t="s">
        <v>612</v>
      </c>
      <c r="C99" s="266">
        <v>39600</v>
      </c>
      <c r="D99" s="266"/>
    </row>
    <row r="100" spans="1:4" s="253" customFormat="1">
      <c r="A100" s="262">
        <v>55</v>
      </c>
      <c r="B100" s="268" t="s">
        <v>613</v>
      </c>
      <c r="C100" s="266">
        <v>80000</v>
      </c>
      <c r="D100" s="266"/>
    </row>
    <row r="101" spans="1:4" s="253" customFormat="1" ht="36">
      <c r="A101" s="262">
        <v>56</v>
      </c>
      <c r="B101" s="268" t="s">
        <v>614</v>
      </c>
      <c r="C101" s="266">
        <v>96000</v>
      </c>
      <c r="D101" s="266"/>
    </row>
    <row r="102" spans="1:4" s="253" customFormat="1">
      <c r="A102" s="262">
        <v>57</v>
      </c>
      <c r="B102" s="268" t="s">
        <v>615</v>
      </c>
      <c r="C102" s="266">
        <v>20000</v>
      </c>
      <c r="D102" s="266"/>
    </row>
    <row r="103" spans="1:4" s="253" customFormat="1" ht="26.25" customHeight="1">
      <c r="A103" s="262">
        <v>58</v>
      </c>
      <c r="B103" s="268" t="s">
        <v>616</v>
      </c>
      <c r="C103" s="266">
        <v>9420</v>
      </c>
      <c r="D103" s="266"/>
    </row>
    <row r="104" spans="1:4" s="253" customFormat="1">
      <c r="A104" s="262">
        <v>59</v>
      </c>
      <c r="B104" s="268" t="s">
        <v>617</v>
      </c>
      <c r="C104" s="266">
        <v>17340</v>
      </c>
      <c r="D104" s="266"/>
    </row>
    <row r="105" spans="1:4" s="253" customFormat="1" ht="36">
      <c r="A105" s="262">
        <v>60</v>
      </c>
      <c r="B105" s="268" t="s">
        <v>618</v>
      </c>
      <c r="C105" s="266">
        <v>35500</v>
      </c>
      <c r="D105" s="266"/>
    </row>
    <row r="106" spans="1:4" s="253" customFormat="1">
      <c r="A106" s="262">
        <v>61</v>
      </c>
      <c r="B106" s="268" t="s">
        <v>619</v>
      </c>
      <c r="C106" s="266">
        <v>40000</v>
      </c>
      <c r="D106" s="266"/>
    </row>
    <row r="107" spans="1:4" s="253" customFormat="1">
      <c r="A107" s="262">
        <v>62</v>
      </c>
      <c r="B107" s="268" t="s">
        <v>620</v>
      </c>
      <c r="C107" s="266">
        <v>92000</v>
      </c>
      <c r="D107" s="266"/>
    </row>
    <row r="108" spans="1:4" s="253" customFormat="1">
      <c r="A108" s="262">
        <v>63</v>
      </c>
      <c r="B108" s="268" t="s">
        <v>621</v>
      </c>
      <c r="C108" s="266">
        <v>39530</v>
      </c>
      <c r="D108" s="266"/>
    </row>
    <row r="109" spans="1:4" s="253" customFormat="1" ht="36">
      <c r="A109" s="262">
        <v>64</v>
      </c>
      <c r="B109" s="268" t="s">
        <v>622</v>
      </c>
      <c r="C109" s="266">
        <v>56600</v>
      </c>
      <c r="D109" s="266"/>
    </row>
    <row r="110" spans="1:4" s="253" customFormat="1">
      <c r="A110" s="262">
        <v>65</v>
      </c>
      <c r="B110" s="268" t="s">
        <v>623</v>
      </c>
      <c r="C110" s="266">
        <v>44200</v>
      </c>
      <c r="D110" s="266"/>
    </row>
    <row r="111" spans="1:4" s="253" customFormat="1">
      <c r="A111" s="262">
        <v>66</v>
      </c>
      <c r="B111" s="268" t="s">
        <v>624</v>
      </c>
      <c r="C111" s="266">
        <v>24000</v>
      </c>
      <c r="D111" s="266"/>
    </row>
    <row r="112" spans="1:4" s="253" customFormat="1">
      <c r="A112" s="262">
        <v>67</v>
      </c>
      <c r="B112" s="268" t="s">
        <v>625</v>
      </c>
      <c r="C112" s="266">
        <v>91000</v>
      </c>
      <c r="D112" s="266"/>
    </row>
    <row r="113" spans="1:4" s="253" customFormat="1">
      <c r="A113" s="262">
        <v>68</v>
      </c>
      <c r="B113" s="268" t="s">
        <v>626</v>
      </c>
      <c r="C113" s="266">
        <v>131</v>
      </c>
      <c r="D113" s="266"/>
    </row>
    <row r="114" spans="1:4" s="253" customFormat="1">
      <c r="A114" s="262">
        <v>69</v>
      </c>
      <c r="B114" s="268" t="s">
        <v>627</v>
      </c>
      <c r="C114" s="266">
        <v>25000</v>
      </c>
      <c r="D114" s="266"/>
    </row>
    <row r="115" spans="1:4" s="253" customFormat="1" ht="36">
      <c r="A115" s="262">
        <v>70</v>
      </c>
      <c r="B115" s="268" t="s">
        <v>628</v>
      </c>
      <c r="C115" s="266">
        <v>76509</v>
      </c>
      <c r="D115" s="266"/>
    </row>
    <row r="116" spans="1:4" s="253" customFormat="1" ht="36">
      <c r="A116" s="262">
        <v>71</v>
      </c>
      <c r="B116" s="270" t="s">
        <v>629</v>
      </c>
      <c r="C116" s="266">
        <v>127000</v>
      </c>
      <c r="D116" s="266"/>
    </row>
    <row r="117" spans="1:4" s="253" customFormat="1">
      <c r="A117" s="262">
        <v>72</v>
      </c>
      <c r="B117" s="270" t="s">
        <v>630</v>
      </c>
      <c r="C117" s="266">
        <v>25000</v>
      </c>
      <c r="D117" s="266"/>
    </row>
    <row r="118" spans="1:4" s="253" customFormat="1">
      <c r="A118" s="262">
        <v>73</v>
      </c>
      <c r="B118" s="270" t="s">
        <v>631</v>
      </c>
      <c r="C118" s="266">
        <v>10000</v>
      </c>
      <c r="D118" s="266"/>
    </row>
    <row r="119" spans="1:4" s="253" customFormat="1" ht="36">
      <c r="A119" s="262">
        <v>74</v>
      </c>
      <c r="B119" s="270" t="s">
        <v>632</v>
      </c>
      <c r="C119" s="266">
        <v>34</v>
      </c>
      <c r="D119" s="266"/>
    </row>
    <row r="120" spans="1:4" s="253" customFormat="1">
      <c r="A120" s="262">
        <v>75</v>
      </c>
      <c r="B120" s="265" t="s">
        <v>633</v>
      </c>
      <c r="C120" s="266">
        <v>110000</v>
      </c>
      <c r="D120" s="266"/>
    </row>
    <row r="121" spans="1:4" s="253" customFormat="1" ht="36">
      <c r="A121" s="262">
        <v>76</v>
      </c>
      <c r="B121" s="265" t="s">
        <v>634</v>
      </c>
      <c r="C121" s="266">
        <v>265000</v>
      </c>
      <c r="D121" s="266"/>
    </row>
    <row r="122" spans="1:4" s="253" customFormat="1" ht="54">
      <c r="A122" s="262">
        <v>77</v>
      </c>
      <c r="B122" s="265" t="s">
        <v>635</v>
      </c>
      <c r="C122" s="266">
        <v>427357</v>
      </c>
      <c r="D122" s="266"/>
    </row>
    <row r="123" spans="1:4" s="253" customFormat="1" ht="54">
      <c r="A123" s="262">
        <v>78</v>
      </c>
      <c r="B123" s="265" t="s">
        <v>636</v>
      </c>
      <c r="C123" s="266">
        <v>365000</v>
      </c>
      <c r="D123" s="266"/>
    </row>
    <row r="124" spans="1:4" s="253" customFormat="1" ht="18.75" customHeight="1">
      <c r="A124" s="262">
        <v>79</v>
      </c>
      <c r="B124" s="265" t="s">
        <v>637</v>
      </c>
      <c r="C124" s="266">
        <v>87000</v>
      </c>
      <c r="D124" s="266"/>
    </row>
    <row r="125" spans="1:4" s="253" customFormat="1" ht="22.5" customHeight="1">
      <c r="A125" s="262">
        <v>80</v>
      </c>
      <c r="B125" s="265" t="s">
        <v>638</v>
      </c>
      <c r="C125" s="266">
        <v>92000</v>
      </c>
      <c r="D125" s="266"/>
    </row>
    <row r="126" spans="1:4" s="253" customFormat="1" ht="36">
      <c r="A126" s="262">
        <v>81</v>
      </c>
      <c r="B126" s="265" t="s">
        <v>639</v>
      </c>
      <c r="C126" s="266">
        <v>95000</v>
      </c>
      <c r="D126" s="266"/>
    </row>
    <row r="127" spans="1:4" s="253" customFormat="1" ht="54">
      <c r="A127" s="262">
        <v>82</v>
      </c>
      <c r="B127" s="265" t="s">
        <v>640</v>
      </c>
      <c r="C127" s="266">
        <v>125000</v>
      </c>
      <c r="D127" s="266"/>
    </row>
    <row r="128" spans="1:4" s="253" customFormat="1">
      <c r="A128" s="262">
        <v>83</v>
      </c>
      <c r="B128" s="268" t="s">
        <v>641</v>
      </c>
      <c r="C128" s="266">
        <v>8000</v>
      </c>
      <c r="D128" s="266"/>
    </row>
    <row r="129" spans="1:4" s="253" customFormat="1" ht="36">
      <c r="A129" s="262">
        <v>84</v>
      </c>
      <c r="B129" s="265" t="s">
        <v>642</v>
      </c>
      <c r="C129" s="266">
        <v>15000</v>
      </c>
      <c r="D129" s="266"/>
    </row>
    <row r="130" spans="1:4" s="253" customFormat="1" ht="36">
      <c r="A130" s="262">
        <v>85</v>
      </c>
      <c r="B130" s="268" t="s">
        <v>643</v>
      </c>
      <c r="C130" s="266">
        <v>7500</v>
      </c>
      <c r="D130" s="266"/>
    </row>
    <row r="131" spans="1:4" s="253" customFormat="1" ht="36">
      <c r="A131" s="262">
        <v>86</v>
      </c>
      <c r="B131" s="268" t="s">
        <v>644</v>
      </c>
      <c r="C131" s="266">
        <v>7500</v>
      </c>
      <c r="D131" s="266"/>
    </row>
    <row r="132" spans="1:4" s="253" customFormat="1" ht="36">
      <c r="A132" s="262">
        <v>87</v>
      </c>
      <c r="B132" s="268" t="s">
        <v>645</v>
      </c>
      <c r="C132" s="266">
        <v>9000</v>
      </c>
      <c r="D132" s="266"/>
    </row>
    <row r="133" spans="1:4" s="253" customFormat="1" ht="36">
      <c r="A133" s="262">
        <v>88</v>
      </c>
      <c r="B133" s="268" t="s">
        <v>646</v>
      </c>
      <c r="C133" s="266">
        <v>7500</v>
      </c>
      <c r="D133" s="266"/>
    </row>
    <row r="134" spans="1:4" s="253" customFormat="1" ht="54" customHeight="1">
      <c r="A134" s="262">
        <v>89</v>
      </c>
      <c r="B134" s="265" t="s">
        <v>647</v>
      </c>
      <c r="C134" s="266">
        <v>56996</v>
      </c>
      <c r="D134" s="266"/>
    </row>
    <row r="135" spans="1:4" s="253" customFormat="1" ht="36">
      <c r="A135" s="262">
        <v>90</v>
      </c>
      <c r="B135" s="265" t="s">
        <v>648</v>
      </c>
      <c r="C135" s="266">
        <v>3263</v>
      </c>
      <c r="D135" s="266"/>
    </row>
    <row r="136" spans="1:4" s="253" customFormat="1" ht="40.5" customHeight="1">
      <c r="A136" s="262">
        <v>91</v>
      </c>
      <c r="B136" s="265" t="s">
        <v>649</v>
      </c>
      <c r="C136" s="266">
        <v>500</v>
      </c>
      <c r="D136" s="266"/>
    </row>
    <row r="137" spans="1:4" s="253" customFormat="1" ht="42.75" customHeight="1">
      <c r="A137" s="262">
        <v>92</v>
      </c>
      <c r="B137" s="265" t="s">
        <v>650</v>
      </c>
      <c r="C137" s="266">
        <v>500</v>
      </c>
      <c r="D137" s="266"/>
    </row>
    <row r="138" spans="1:4" s="253" customFormat="1" ht="54">
      <c r="A138" s="262">
        <v>93</v>
      </c>
      <c r="B138" s="265" t="s">
        <v>651</v>
      </c>
      <c r="C138" s="266">
        <v>1000</v>
      </c>
      <c r="D138" s="266"/>
    </row>
    <row r="139" spans="1:4" s="253" customFormat="1" ht="54">
      <c r="A139" s="262">
        <v>94</v>
      </c>
      <c r="B139" s="265" t="s">
        <v>652</v>
      </c>
      <c r="C139" s="266">
        <v>1000</v>
      </c>
      <c r="D139" s="266"/>
    </row>
    <row r="140" spans="1:4" s="253" customFormat="1" ht="36">
      <c r="A140" s="262">
        <v>95</v>
      </c>
      <c r="B140" s="265" t="s">
        <v>653</v>
      </c>
      <c r="C140" s="266">
        <v>1400</v>
      </c>
      <c r="D140" s="266"/>
    </row>
    <row r="141" spans="1:4" s="253" customFormat="1" ht="72">
      <c r="A141" s="262">
        <v>96</v>
      </c>
      <c r="B141" s="265" t="s">
        <v>654</v>
      </c>
      <c r="C141" s="266">
        <v>5000</v>
      </c>
      <c r="D141" s="266"/>
    </row>
    <row r="142" spans="1:4" s="253" customFormat="1" ht="54">
      <c r="A142" s="262">
        <v>97</v>
      </c>
      <c r="B142" s="265" t="s">
        <v>655</v>
      </c>
      <c r="C142" s="266">
        <v>830917</v>
      </c>
      <c r="D142" s="266"/>
    </row>
    <row r="143" spans="1:4" s="253" customFormat="1">
      <c r="A143" s="256"/>
      <c r="B143" s="267" t="s">
        <v>544</v>
      </c>
      <c r="C143" s="266">
        <v>0</v>
      </c>
      <c r="D143" s="266"/>
    </row>
    <row r="144" spans="1:4" s="253" customFormat="1" ht="36">
      <c r="A144" s="277">
        <v>98</v>
      </c>
      <c r="B144" s="268" t="s">
        <v>656</v>
      </c>
      <c r="C144" s="266">
        <v>207000</v>
      </c>
      <c r="D144" s="266"/>
    </row>
    <row r="145" spans="1:4" s="253" customFormat="1" ht="36">
      <c r="A145" s="277">
        <v>99</v>
      </c>
      <c r="B145" s="268" t="s">
        <v>657</v>
      </c>
      <c r="C145" s="266">
        <v>124130</v>
      </c>
      <c r="D145" s="266"/>
    </row>
    <row r="146" spans="1:4" s="253" customFormat="1" ht="36">
      <c r="A146" s="277">
        <v>100</v>
      </c>
      <c r="B146" s="268" t="s">
        <v>658</v>
      </c>
      <c r="C146" s="266">
        <v>193000</v>
      </c>
      <c r="D146" s="266"/>
    </row>
    <row r="147" spans="1:4" s="253" customFormat="1" ht="24.75" customHeight="1">
      <c r="A147" s="277">
        <v>101</v>
      </c>
      <c r="B147" s="268" t="s">
        <v>659</v>
      </c>
      <c r="C147" s="266">
        <v>43000</v>
      </c>
      <c r="D147" s="266"/>
    </row>
    <row r="148" spans="1:4" s="253" customFormat="1" ht="36">
      <c r="A148" s="277">
        <v>102</v>
      </c>
      <c r="B148" s="268" t="s">
        <v>660</v>
      </c>
      <c r="C148" s="266">
        <v>179200</v>
      </c>
      <c r="D148" s="266"/>
    </row>
    <row r="149" spans="1:4" s="253" customFormat="1" ht="36">
      <c r="A149" s="277">
        <v>103</v>
      </c>
      <c r="B149" s="268" t="s">
        <v>661</v>
      </c>
      <c r="C149" s="266">
        <v>91000</v>
      </c>
      <c r="D149" s="266"/>
    </row>
    <row r="150" spans="1:4" s="253" customFormat="1" ht="36">
      <c r="A150" s="277">
        <v>104</v>
      </c>
      <c r="B150" s="268" t="s">
        <v>662</v>
      </c>
      <c r="C150" s="266">
        <v>95643</v>
      </c>
      <c r="D150" s="266"/>
    </row>
    <row r="151" spans="1:4" s="253" customFormat="1" ht="126">
      <c r="A151" s="277">
        <v>105</v>
      </c>
      <c r="B151" s="268" t="s">
        <v>663</v>
      </c>
      <c r="C151" s="266">
        <v>98150</v>
      </c>
      <c r="D151" s="266"/>
    </row>
    <row r="152" spans="1:4" s="253" customFormat="1" ht="54">
      <c r="A152" s="277">
        <v>106</v>
      </c>
      <c r="B152" s="268" t="s">
        <v>664</v>
      </c>
      <c r="C152" s="266">
        <v>146000</v>
      </c>
      <c r="D152" s="266"/>
    </row>
    <row r="153" spans="1:4" s="253" customFormat="1" ht="36">
      <c r="A153" s="277">
        <v>107</v>
      </c>
      <c r="B153" s="268" t="s">
        <v>665</v>
      </c>
      <c r="C153" s="266">
        <v>60000</v>
      </c>
      <c r="D153" s="266"/>
    </row>
    <row r="154" spans="1:4" s="253" customFormat="1" ht="36">
      <c r="A154" s="277">
        <v>108</v>
      </c>
      <c r="B154" s="268" t="s">
        <v>666</v>
      </c>
      <c r="C154" s="266">
        <v>100000</v>
      </c>
      <c r="D154" s="266"/>
    </row>
    <row r="155" spans="1:4" s="253" customFormat="1" ht="36">
      <c r="A155" s="277">
        <v>109</v>
      </c>
      <c r="B155" s="268" t="s">
        <v>667</v>
      </c>
      <c r="C155" s="266">
        <v>90000</v>
      </c>
      <c r="D155" s="266"/>
    </row>
    <row r="156" spans="1:4" s="253" customFormat="1" ht="36">
      <c r="A156" s="277">
        <v>110</v>
      </c>
      <c r="B156" s="268" t="s">
        <v>668</v>
      </c>
      <c r="C156" s="266">
        <v>7100</v>
      </c>
      <c r="D156" s="266"/>
    </row>
    <row r="157" spans="1:4" s="253" customFormat="1" ht="36">
      <c r="A157" s="277">
        <v>111</v>
      </c>
      <c r="B157" s="268" t="s">
        <v>669</v>
      </c>
      <c r="C157" s="266">
        <v>7100</v>
      </c>
      <c r="D157" s="266"/>
    </row>
    <row r="158" spans="1:4" s="253" customFormat="1" ht="34.5" customHeight="1">
      <c r="A158" s="277">
        <v>112</v>
      </c>
      <c r="B158" s="268" t="s">
        <v>670</v>
      </c>
      <c r="C158" s="266">
        <v>7100</v>
      </c>
      <c r="D158" s="266"/>
    </row>
    <row r="159" spans="1:4" s="253" customFormat="1" ht="34.5" customHeight="1">
      <c r="A159" s="277">
        <v>113</v>
      </c>
      <c r="B159" s="268" t="s">
        <v>671</v>
      </c>
      <c r="C159" s="266">
        <v>7100</v>
      </c>
      <c r="D159" s="266"/>
    </row>
    <row r="160" spans="1:4" s="253" customFormat="1">
      <c r="A160" s="277"/>
      <c r="B160" s="262" t="s">
        <v>672</v>
      </c>
      <c r="C160" s="266">
        <v>0</v>
      </c>
      <c r="D160" s="266"/>
    </row>
    <row r="161" spans="1:4" s="253" customFormat="1">
      <c r="A161" s="277"/>
      <c r="B161" s="263" t="s">
        <v>541</v>
      </c>
      <c r="C161" s="266">
        <v>0</v>
      </c>
      <c r="D161" s="266"/>
    </row>
    <row r="162" spans="1:4" s="253" customFormat="1" ht="36">
      <c r="A162" s="278">
        <v>114</v>
      </c>
      <c r="B162" s="265" t="s">
        <v>673</v>
      </c>
      <c r="C162" s="266">
        <v>300500</v>
      </c>
      <c r="D162" s="266"/>
    </row>
    <row r="163" spans="1:4" s="253" customFormat="1" ht="54">
      <c r="A163" s="278">
        <v>115</v>
      </c>
      <c r="B163" s="265" t="s">
        <v>674</v>
      </c>
      <c r="C163" s="266">
        <v>9000</v>
      </c>
      <c r="D163" s="266"/>
    </row>
    <row r="164" spans="1:4" s="253" customFormat="1">
      <c r="A164" s="278">
        <v>116</v>
      </c>
      <c r="B164" s="265" t="s">
        <v>675</v>
      </c>
      <c r="C164" s="266">
        <v>30000</v>
      </c>
      <c r="D164" s="266"/>
    </row>
    <row r="165" spans="1:4" s="253" customFormat="1" ht="36">
      <c r="A165" s="278">
        <v>117</v>
      </c>
      <c r="B165" s="265" t="s">
        <v>676</v>
      </c>
      <c r="C165" s="266">
        <v>100000</v>
      </c>
      <c r="D165" s="266"/>
    </row>
    <row r="166" spans="1:4" s="253" customFormat="1" ht="54">
      <c r="A166" s="278">
        <v>118</v>
      </c>
      <c r="B166" s="265" t="s">
        <v>677</v>
      </c>
      <c r="C166" s="266">
        <v>10000</v>
      </c>
      <c r="D166" s="266"/>
    </row>
    <row r="167" spans="1:4" s="253" customFormat="1" ht="36">
      <c r="A167" s="278">
        <v>119</v>
      </c>
      <c r="B167" s="265" t="s">
        <v>678</v>
      </c>
      <c r="C167" s="266">
        <v>27484</v>
      </c>
      <c r="D167" s="266"/>
    </row>
    <row r="168" spans="1:4" s="253" customFormat="1" ht="36">
      <c r="A168" s="278">
        <v>120</v>
      </c>
      <c r="B168" s="265" t="s">
        <v>679</v>
      </c>
      <c r="C168" s="266">
        <v>20583.2</v>
      </c>
      <c r="D168" s="266"/>
    </row>
    <row r="169" spans="1:4" s="253" customFormat="1" ht="36">
      <c r="A169" s="278">
        <v>121</v>
      </c>
      <c r="B169" s="265" t="s">
        <v>680</v>
      </c>
      <c r="C169" s="266">
        <v>2106</v>
      </c>
      <c r="D169" s="266"/>
    </row>
    <row r="170" spans="1:4" s="253" customFormat="1">
      <c r="A170" s="278">
        <v>122</v>
      </c>
      <c r="B170" s="265" t="s">
        <v>681</v>
      </c>
      <c r="C170" s="266">
        <v>2106</v>
      </c>
      <c r="D170" s="266"/>
    </row>
    <row r="171" spans="1:4" s="253" customFormat="1" ht="36">
      <c r="A171" s="278">
        <v>123</v>
      </c>
      <c r="B171" s="270" t="s">
        <v>682</v>
      </c>
      <c r="C171" s="266">
        <v>116500</v>
      </c>
      <c r="D171" s="266"/>
    </row>
    <row r="172" spans="1:4" s="253" customFormat="1" ht="36">
      <c r="A172" s="278">
        <v>124</v>
      </c>
      <c r="B172" s="279" t="s">
        <v>683</v>
      </c>
      <c r="C172" s="266">
        <v>2741</v>
      </c>
      <c r="D172" s="266"/>
    </row>
    <row r="173" spans="1:4" s="253" customFormat="1" ht="36">
      <c r="A173" s="278">
        <v>125</v>
      </c>
      <c r="B173" s="270" t="s">
        <v>684</v>
      </c>
      <c r="C173" s="266">
        <v>40000</v>
      </c>
      <c r="D173" s="266"/>
    </row>
    <row r="174" spans="1:4" s="253" customFormat="1">
      <c r="A174" s="278">
        <v>126</v>
      </c>
      <c r="B174" s="270" t="s">
        <v>685</v>
      </c>
      <c r="C174" s="266">
        <v>16800</v>
      </c>
      <c r="D174" s="266"/>
    </row>
    <row r="175" spans="1:4" s="253" customFormat="1" ht="36">
      <c r="A175" s="278">
        <v>127</v>
      </c>
      <c r="B175" s="270" t="s">
        <v>686</v>
      </c>
      <c r="C175" s="266">
        <v>8000</v>
      </c>
      <c r="D175" s="266"/>
    </row>
    <row r="176" spans="1:4" s="253" customFormat="1">
      <c r="A176" s="278">
        <v>128</v>
      </c>
      <c r="B176" s="270" t="s">
        <v>687</v>
      </c>
      <c r="C176" s="266">
        <v>88000</v>
      </c>
      <c r="D176" s="266"/>
    </row>
    <row r="177" spans="1:4" s="253" customFormat="1" ht="90">
      <c r="A177" s="278">
        <v>129</v>
      </c>
      <c r="B177" s="265" t="s">
        <v>688</v>
      </c>
      <c r="C177" s="266">
        <v>2900</v>
      </c>
      <c r="D177" s="266"/>
    </row>
    <row r="178" spans="1:4" s="253" customFormat="1" ht="36">
      <c r="A178" s="278">
        <v>130</v>
      </c>
      <c r="B178" s="265" t="s">
        <v>689</v>
      </c>
      <c r="C178" s="266">
        <v>3800000</v>
      </c>
      <c r="D178" s="266"/>
    </row>
    <row r="179" spans="1:4" s="253" customFormat="1" ht="36">
      <c r="A179" s="278">
        <v>131</v>
      </c>
      <c r="B179" s="270" t="s">
        <v>690</v>
      </c>
      <c r="C179" s="266">
        <v>55000</v>
      </c>
      <c r="D179" s="266"/>
    </row>
    <row r="180" spans="1:4" s="253" customFormat="1" ht="54">
      <c r="A180" s="278">
        <v>132</v>
      </c>
      <c r="B180" s="270" t="s">
        <v>691</v>
      </c>
      <c r="C180" s="266">
        <v>100000</v>
      </c>
      <c r="D180" s="266"/>
    </row>
    <row r="181" spans="1:4" s="253" customFormat="1" ht="36">
      <c r="A181" s="278">
        <v>133</v>
      </c>
      <c r="B181" s="270" t="s">
        <v>692</v>
      </c>
      <c r="C181" s="266">
        <v>60000</v>
      </c>
      <c r="D181" s="266"/>
    </row>
    <row r="182" spans="1:4" s="253" customFormat="1" ht="36">
      <c r="A182" s="278">
        <v>134</v>
      </c>
      <c r="B182" s="265" t="s">
        <v>693</v>
      </c>
      <c r="C182" s="266">
        <v>60000</v>
      </c>
      <c r="D182" s="266"/>
    </row>
    <row r="183" spans="1:4" s="253" customFormat="1" ht="36">
      <c r="A183" s="278">
        <v>135</v>
      </c>
      <c r="B183" s="265" t="s">
        <v>694</v>
      </c>
      <c r="C183" s="266">
        <v>37500</v>
      </c>
      <c r="D183" s="266"/>
    </row>
    <row r="184" spans="1:4" s="253" customFormat="1" ht="36">
      <c r="A184" s="278">
        <v>136</v>
      </c>
      <c r="B184" s="265" t="s">
        <v>695</v>
      </c>
      <c r="C184" s="266">
        <v>65000</v>
      </c>
      <c r="D184" s="266"/>
    </row>
    <row r="185" spans="1:4" s="253" customFormat="1" ht="36">
      <c r="A185" s="278">
        <v>137</v>
      </c>
      <c r="B185" s="270" t="s">
        <v>696</v>
      </c>
      <c r="C185" s="266">
        <v>10000</v>
      </c>
      <c r="D185" s="266"/>
    </row>
    <row r="186" spans="1:4" s="253" customFormat="1" ht="36">
      <c r="A186" s="278">
        <v>138</v>
      </c>
      <c r="B186" s="265" t="s">
        <v>697</v>
      </c>
      <c r="C186" s="266">
        <v>10000</v>
      </c>
      <c r="D186" s="266"/>
    </row>
    <row r="187" spans="1:4" s="253" customFormat="1">
      <c r="A187" s="256"/>
      <c r="B187" s="267" t="s">
        <v>544</v>
      </c>
      <c r="C187" s="266">
        <v>0</v>
      </c>
      <c r="D187" s="266"/>
    </row>
    <row r="188" spans="1:4" s="253" customFormat="1" ht="36">
      <c r="A188" s="277">
        <v>139</v>
      </c>
      <c r="B188" s="268" t="s">
        <v>698</v>
      </c>
      <c r="C188" s="266">
        <v>75000</v>
      </c>
      <c r="D188" s="266"/>
    </row>
    <row r="189" spans="1:4" s="253" customFormat="1" ht="36">
      <c r="A189" s="277">
        <v>140</v>
      </c>
      <c r="B189" s="265" t="s">
        <v>699</v>
      </c>
      <c r="C189" s="266">
        <v>6000</v>
      </c>
      <c r="D189" s="266"/>
    </row>
    <row r="190" spans="1:4" s="253" customFormat="1" ht="36">
      <c r="A190" s="277">
        <v>141</v>
      </c>
      <c r="B190" s="270" t="s">
        <v>700</v>
      </c>
      <c r="C190" s="266">
        <v>55000</v>
      </c>
      <c r="D190" s="266"/>
    </row>
    <row r="191" spans="1:4" s="253" customFormat="1">
      <c r="A191" s="277">
        <v>142</v>
      </c>
      <c r="B191" s="270" t="s">
        <v>701</v>
      </c>
      <c r="C191" s="266">
        <v>96500</v>
      </c>
      <c r="D191" s="266"/>
    </row>
    <row r="192" spans="1:4" s="253" customFormat="1" ht="54">
      <c r="A192" s="277">
        <v>143</v>
      </c>
      <c r="B192" s="268" t="s">
        <v>702</v>
      </c>
      <c r="C192" s="266">
        <v>0</v>
      </c>
      <c r="D192" s="266">
        <v>906704.1</v>
      </c>
    </row>
    <row r="193" spans="1:4" s="253" customFormat="1" ht="54">
      <c r="A193" s="277">
        <v>144</v>
      </c>
      <c r="B193" s="280" t="s">
        <v>703</v>
      </c>
      <c r="C193" s="266">
        <v>0</v>
      </c>
      <c r="D193" s="266">
        <v>1622985.04</v>
      </c>
    </row>
    <row r="194" spans="1:4" s="253" customFormat="1" ht="54">
      <c r="A194" s="277">
        <v>145</v>
      </c>
      <c r="B194" s="268" t="s">
        <v>704</v>
      </c>
      <c r="C194" s="266">
        <v>0</v>
      </c>
      <c r="D194" s="266">
        <v>1692101.3</v>
      </c>
    </row>
    <row r="195" spans="1:4" s="253" customFormat="1" ht="54">
      <c r="A195" s="277">
        <v>146</v>
      </c>
      <c r="B195" s="268" t="s">
        <v>705</v>
      </c>
      <c r="C195" s="266">
        <v>0</v>
      </c>
      <c r="D195" s="266">
        <v>2469501</v>
      </c>
    </row>
    <row r="196" spans="1:4" s="253" customFormat="1" ht="54">
      <c r="A196" s="277">
        <v>147</v>
      </c>
      <c r="B196" s="268" t="s">
        <v>706</v>
      </c>
      <c r="C196" s="266">
        <v>0</v>
      </c>
      <c r="D196" s="266">
        <v>1241406.24</v>
      </c>
    </row>
    <row r="197" spans="1:4" s="253" customFormat="1" ht="54">
      <c r="A197" s="277">
        <v>148</v>
      </c>
      <c r="B197" s="268" t="s">
        <v>707</v>
      </c>
      <c r="C197" s="266">
        <v>0</v>
      </c>
      <c r="D197" s="266">
        <v>1840672.8</v>
      </c>
    </row>
    <row r="198" spans="1:4" s="253" customFormat="1">
      <c r="A198" s="277"/>
      <c r="B198" s="262" t="s">
        <v>708</v>
      </c>
      <c r="C198" s="266">
        <v>0</v>
      </c>
      <c r="D198" s="281"/>
    </row>
    <row r="199" spans="1:4" s="253" customFormat="1" ht="21" customHeight="1">
      <c r="A199" s="256"/>
      <c r="B199" s="263" t="s">
        <v>541</v>
      </c>
      <c r="C199" s="266">
        <v>0</v>
      </c>
      <c r="D199" s="264"/>
    </row>
    <row r="200" spans="1:4" s="253" customFormat="1" ht="54">
      <c r="A200" s="256">
        <v>149</v>
      </c>
      <c r="B200" s="265" t="s">
        <v>709</v>
      </c>
      <c r="C200" s="266">
        <v>15000</v>
      </c>
      <c r="D200" s="266"/>
    </row>
    <row r="201" spans="1:4" s="253" customFormat="1">
      <c r="A201" s="256"/>
      <c r="B201" s="262" t="s">
        <v>710</v>
      </c>
      <c r="C201" s="266">
        <v>0</v>
      </c>
      <c r="D201" s="264"/>
    </row>
    <row r="202" spans="1:4" s="253" customFormat="1">
      <c r="A202" s="256"/>
      <c r="B202" s="263" t="s">
        <v>541</v>
      </c>
      <c r="C202" s="266">
        <v>0</v>
      </c>
      <c r="D202" s="264"/>
    </row>
    <row r="203" spans="1:4" s="253" customFormat="1" ht="36">
      <c r="A203" s="256">
        <v>150</v>
      </c>
      <c r="B203" s="265" t="s">
        <v>711</v>
      </c>
      <c r="C203" s="266">
        <v>4000</v>
      </c>
      <c r="D203" s="266"/>
    </row>
    <row r="204" spans="1:4" s="253" customFormat="1">
      <c r="A204" s="256"/>
      <c r="B204" s="262" t="s">
        <v>712</v>
      </c>
      <c r="C204" s="266">
        <v>0</v>
      </c>
      <c r="D204" s="264"/>
    </row>
    <row r="205" spans="1:4" s="253" customFormat="1">
      <c r="A205" s="256"/>
      <c r="B205" s="267" t="s">
        <v>544</v>
      </c>
      <c r="C205" s="266">
        <v>0</v>
      </c>
      <c r="D205" s="266"/>
    </row>
    <row r="206" spans="1:4" s="253" customFormat="1" ht="36">
      <c r="A206" s="256">
        <v>151</v>
      </c>
      <c r="B206" s="268" t="s">
        <v>713</v>
      </c>
      <c r="C206" s="266">
        <v>0</v>
      </c>
      <c r="D206" s="266">
        <v>2491817.61</v>
      </c>
    </row>
    <row r="207" spans="1:4" s="261" customFormat="1">
      <c r="A207" s="256"/>
      <c r="B207" s="282"/>
      <c r="C207" s="264"/>
      <c r="D207" s="264"/>
    </row>
    <row r="208" spans="1:4" s="253" customFormat="1">
      <c r="A208" s="256"/>
      <c r="B208" s="257" t="s">
        <v>714</v>
      </c>
      <c r="C208" s="258">
        <f>SUM(C211:C244)</f>
        <v>758395</v>
      </c>
      <c r="D208" s="258">
        <f>SUM(D211:D244)</f>
        <v>4280084.7699999996</v>
      </c>
    </row>
    <row r="209" spans="1:4" s="261" customFormat="1">
      <c r="A209" s="256"/>
      <c r="B209" s="262" t="s">
        <v>715</v>
      </c>
      <c r="C209" s="264"/>
      <c r="D209" s="264"/>
    </row>
    <row r="210" spans="1:4" s="253" customFormat="1">
      <c r="A210" s="256"/>
      <c r="B210" s="263" t="s">
        <v>541</v>
      </c>
      <c r="C210" s="264"/>
      <c r="D210" s="264"/>
    </row>
    <row r="211" spans="1:4" s="253" customFormat="1" ht="54">
      <c r="A211" s="262">
        <v>152</v>
      </c>
      <c r="B211" s="265" t="s">
        <v>716</v>
      </c>
      <c r="C211" s="266">
        <v>0</v>
      </c>
      <c r="D211" s="266">
        <f>416271</f>
        <v>416271</v>
      </c>
    </row>
    <row r="212" spans="1:4" s="253" customFormat="1" ht="54">
      <c r="A212" s="262">
        <v>153</v>
      </c>
      <c r="B212" s="265" t="s">
        <v>717</v>
      </c>
      <c r="C212" s="266">
        <v>606000</v>
      </c>
      <c r="D212" s="266"/>
    </row>
    <row r="213" spans="1:4" s="253" customFormat="1" ht="36">
      <c r="A213" s="262">
        <v>154</v>
      </c>
      <c r="B213" s="265" t="s">
        <v>718</v>
      </c>
      <c r="C213" s="266">
        <v>10000</v>
      </c>
      <c r="D213" s="266"/>
    </row>
    <row r="214" spans="1:4" s="253" customFormat="1">
      <c r="A214" s="256"/>
      <c r="B214" s="267" t="s">
        <v>544</v>
      </c>
      <c r="C214" s="266">
        <v>0</v>
      </c>
      <c r="D214" s="266"/>
    </row>
    <row r="215" spans="1:4" s="253" customFormat="1" ht="72">
      <c r="A215" s="262">
        <v>155</v>
      </c>
      <c r="B215" s="265" t="s">
        <v>719</v>
      </c>
      <c r="C215" s="266">
        <v>0</v>
      </c>
      <c r="D215" s="266">
        <v>353132</v>
      </c>
    </row>
    <row r="216" spans="1:4" s="253" customFormat="1" ht="72">
      <c r="A216" s="262">
        <v>156</v>
      </c>
      <c r="B216" s="265" t="s">
        <v>720</v>
      </c>
      <c r="C216" s="266">
        <v>0</v>
      </c>
      <c r="D216" s="266">
        <v>413266</v>
      </c>
    </row>
    <row r="217" spans="1:4" s="261" customFormat="1">
      <c r="A217" s="256"/>
      <c r="B217" s="262" t="s">
        <v>721</v>
      </c>
      <c r="C217" s="266">
        <v>0</v>
      </c>
      <c r="D217" s="264"/>
    </row>
    <row r="218" spans="1:4" s="253" customFormat="1">
      <c r="A218" s="256"/>
      <c r="B218" s="263" t="s">
        <v>541</v>
      </c>
      <c r="C218" s="266">
        <v>0</v>
      </c>
      <c r="D218" s="264"/>
    </row>
    <row r="219" spans="1:4" s="253" customFormat="1">
      <c r="A219" s="256">
        <v>157</v>
      </c>
      <c r="B219" s="283" t="s">
        <v>722</v>
      </c>
      <c r="C219" s="266">
        <v>20000</v>
      </c>
      <c r="D219" s="266"/>
    </row>
    <row r="220" spans="1:4" s="253" customFormat="1">
      <c r="A220" s="256">
        <v>158</v>
      </c>
      <c r="B220" s="265" t="s">
        <v>723</v>
      </c>
      <c r="C220" s="266">
        <v>5500</v>
      </c>
      <c r="D220" s="266"/>
    </row>
    <row r="221" spans="1:4" s="253" customFormat="1">
      <c r="A221" s="256"/>
      <c r="B221" s="267" t="s">
        <v>544</v>
      </c>
      <c r="C221" s="266">
        <v>0</v>
      </c>
      <c r="D221" s="266"/>
    </row>
    <row r="222" spans="1:4" s="253" customFormat="1" ht="36">
      <c r="A222" s="262">
        <v>159</v>
      </c>
      <c r="B222" s="265" t="s">
        <v>724</v>
      </c>
      <c r="C222" s="266">
        <v>0</v>
      </c>
      <c r="D222" s="266">
        <v>1176395.77</v>
      </c>
    </row>
    <row r="223" spans="1:4" s="253" customFormat="1">
      <c r="A223" s="256"/>
      <c r="B223" s="265"/>
      <c r="C223" s="266">
        <v>0</v>
      </c>
      <c r="D223" s="266"/>
    </row>
    <row r="224" spans="1:4" s="253" customFormat="1">
      <c r="A224" s="256"/>
      <c r="B224" s="262" t="s">
        <v>725</v>
      </c>
      <c r="C224" s="266">
        <v>0</v>
      </c>
      <c r="D224" s="264"/>
    </row>
    <row r="225" spans="1:4" s="253" customFormat="1">
      <c r="A225" s="256"/>
      <c r="B225" s="263" t="s">
        <v>541</v>
      </c>
      <c r="C225" s="266">
        <v>0</v>
      </c>
      <c r="D225" s="264"/>
    </row>
    <row r="226" spans="1:4" s="253" customFormat="1" ht="36">
      <c r="A226" s="262">
        <v>160</v>
      </c>
      <c r="B226" s="265" t="s">
        <v>726</v>
      </c>
      <c r="C226" s="266">
        <v>10000</v>
      </c>
      <c r="D226" s="266"/>
    </row>
    <row r="227" spans="1:4" s="253" customFormat="1" ht="36">
      <c r="A227" s="262">
        <v>161</v>
      </c>
      <c r="B227" s="265" t="s">
        <v>727</v>
      </c>
      <c r="C227" s="266">
        <v>10000</v>
      </c>
      <c r="D227" s="266"/>
    </row>
    <row r="228" spans="1:4" s="253" customFormat="1" ht="36">
      <c r="A228" s="262">
        <v>162</v>
      </c>
      <c r="B228" s="265" t="s">
        <v>728</v>
      </c>
      <c r="C228" s="266">
        <v>4171</v>
      </c>
      <c r="D228" s="266"/>
    </row>
    <row r="229" spans="1:4" s="253" customFormat="1" ht="36">
      <c r="A229" s="262">
        <v>163</v>
      </c>
      <c r="B229" s="265" t="s">
        <v>728</v>
      </c>
      <c r="C229" s="266">
        <v>1946</v>
      </c>
      <c r="D229" s="266"/>
    </row>
    <row r="230" spans="1:4" s="253" customFormat="1" ht="36">
      <c r="A230" s="262">
        <v>164</v>
      </c>
      <c r="B230" s="265" t="s">
        <v>728</v>
      </c>
      <c r="C230" s="266">
        <v>2278</v>
      </c>
      <c r="D230" s="266"/>
    </row>
    <row r="231" spans="1:4" s="253" customFormat="1" ht="36">
      <c r="A231" s="262">
        <v>165</v>
      </c>
      <c r="B231" s="265" t="s">
        <v>729</v>
      </c>
      <c r="C231" s="266">
        <v>20000</v>
      </c>
      <c r="D231" s="266"/>
    </row>
    <row r="232" spans="1:4" s="253" customFormat="1" ht="23.25" customHeight="1">
      <c r="A232" s="262">
        <v>166</v>
      </c>
      <c r="B232" s="265" t="s">
        <v>730</v>
      </c>
      <c r="C232" s="266">
        <v>4000</v>
      </c>
      <c r="D232" s="266"/>
    </row>
    <row r="233" spans="1:4" s="253" customFormat="1" ht="23.25" customHeight="1">
      <c r="A233" s="262">
        <v>167</v>
      </c>
      <c r="B233" s="265" t="s">
        <v>731</v>
      </c>
      <c r="C233" s="266">
        <v>10000</v>
      </c>
      <c r="D233" s="266"/>
    </row>
    <row r="234" spans="1:4" s="253" customFormat="1" ht="36">
      <c r="A234" s="262">
        <v>168</v>
      </c>
      <c r="B234" s="265" t="s">
        <v>732</v>
      </c>
      <c r="C234" s="266">
        <v>1000</v>
      </c>
      <c r="D234" s="266"/>
    </row>
    <row r="235" spans="1:4" s="253" customFormat="1" ht="36">
      <c r="A235" s="262">
        <v>169</v>
      </c>
      <c r="B235" s="265" t="s">
        <v>733</v>
      </c>
      <c r="C235" s="266">
        <v>3500</v>
      </c>
      <c r="D235" s="266"/>
    </row>
    <row r="236" spans="1:4" s="253" customFormat="1" ht="36">
      <c r="A236" s="262">
        <v>170</v>
      </c>
      <c r="B236" s="265" t="s">
        <v>734</v>
      </c>
      <c r="C236" s="266">
        <v>10000</v>
      </c>
      <c r="D236" s="266"/>
    </row>
    <row r="237" spans="1:4" s="261" customFormat="1">
      <c r="A237" s="256"/>
      <c r="B237" s="262" t="s">
        <v>735</v>
      </c>
      <c r="C237" s="266">
        <v>0</v>
      </c>
      <c r="D237" s="264"/>
    </row>
    <row r="238" spans="1:4" s="253" customFormat="1" hidden="1">
      <c r="A238" s="256"/>
      <c r="B238" s="263" t="s">
        <v>541</v>
      </c>
      <c r="C238" s="266">
        <v>0</v>
      </c>
      <c r="D238" s="264"/>
    </row>
    <row r="239" spans="1:4" s="253" customFormat="1" hidden="1">
      <c r="A239" s="256"/>
      <c r="B239" s="270"/>
      <c r="C239" s="266"/>
      <c r="D239" s="266"/>
    </row>
    <row r="240" spans="1:4" s="253" customFormat="1">
      <c r="A240" s="256"/>
      <c r="B240" s="267" t="s">
        <v>544</v>
      </c>
      <c r="C240" s="266">
        <v>0</v>
      </c>
      <c r="D240" s="266"/>
    </row>
    <row r="241" spans="1:4" s="253" customFormat="1" ht="36">
      <c r="A241" s="256">
        <v>171</v>
      </c>
      <c r="B241" s="265" t="s">
        <v>736</v>
      </c>
      <c r="C241" s="266">
        <v>0</v>
      </c>
      <c r="D241" s="266">
        <v>1921020</v>
      </c>
    </row>
    <row r="242" spans="1:4" s="261" customFormat="1">
      <c r="A242" s="256"/>
      <c r="B242" s="262" t="s">
        <v>737</v>
      </c>
      <c r="C242" s="266">
        <v>0</v>
      </c>
      <c r="D242" s="264"/>
    </row>
    <row r="243" spans="1:4" s="253" customFormat="1">
      <c r="A243" s="256"/>
      <c r="B243" s="267" t="s">
        <v>544</v>
      </c>
      <c r="C243" s="266"/>
      <c r="D243" s="266"/>
    </row>
    <row r="244" spans="1:4" s="253" customFormat="1">
      <c r="A244" s="256">
        <v>172</v>
      </c>
      <c r="B244" s="265" t="s">
        <v>738</v>
      </c>
      <c r="C244" s="266">
        <v>40000</v>
      </c>
      <c r="D244" s="266"/>
    </row>
    <row r="245" spans="1:4" s="253" customFormat="1">
      <c r="A245" s="256"/>
      <c r="B245" s="257" t="s">
        <v>739</v>
      </c>
      <c r="C245" s="258">
        <f>SUM(C246:C266)</f>
        <v>128020</v>
      </c>
      <c r="D245" s="258">
        <f>D263</f>
        <v>7035000</v>
      </c>
    </row>
    <row r="246" spans="1:4" s="253" customFormat="1">
      <c r="A246" s="256"/>
      <c r="B246" s="262" t="s">
        <v>740</v>
      </c>
      <c r="C246" s="264"/>
      <c r="D246" s="264"/>
    </row>
    <row r="247" spans="1:4" s="253" customFormat="1">
      <c r="A247" s="256"/>
      <c r="B247" s="263" t="s">
        <v>541</v>
      </c>
      <c r="C247" s="264"/>
      <c r="D247" s="264"/>
    </row>
    <row r="248" spans="1:4" s="253" customFormat="1">
      <c r="A248" s="256">
        <v>173</v>
      </c>
      <c r="B248" s="268" t="s">
        <v>741</v>
      </c>
      <c r="C248" s="266">
        <v>10000</v>
      </c>
      <c r="D248" s="266"/>
    </row>
    <row r="249" spans="1:4" s="253" customFormat="1">
      <c r="A249" s="256"/>
      <c r="B249" s="267" t="s">
        <v>544</v>
      </c>
      <c r="C249" s="266">
        <v>0</v>
      </c>
      <c r="D249" s="266"/>
    </row>
    <row r="250" spans="1:4" s="253" customFormat="1" ht="36">
      <c r="A250" s="256">
        <v>174</v>
      </c>
      <c r="B250" s="265" t="s">
        <v>742</v>
      </c>
      <c r="C250" s="266">
        <v>18500</v>
      </c>
      <c r="D250" s="266"/>
    </row>
    <row r="251" spans="1:4" s="253" customFormat="1">
      <c r="A251" s="256"/>
      <c r="B251" s="262" t="s">
        <v>743</v>
      </c>
      <c r="C251" s="266">
        <v>0</v>
      </c>
      <c r="D251" s="264"/>
    </row>
    <row r="252" spans="1:4" s="253" customFormat="1">
      <c r="A252" s="256"/>
      <c r="B252" s="263" t="s">
        <v>541</v>
      </c>
      <c r="C252" s="266">
        <v>0</v>
      </c>
      <c r="D252" s="264"/>
    </row>
    <row r="253" spans="1:4" s="253" customFormat="1">
      <c r="A253" s="256">
        <v>175</v>
      </c>
      <c r="B253" s="265" t="s">
        <v>744</v>
      </c>
      <c r="C253" s="266">
        <v>17100</v>
      </c>
      <c r="D253" s="266"/>
    </row>
    <row r="254" spans="1:4" s="253" customFormat="1" ht="54">
      <c r="A254" s="256">
        <v>176</v>
      </c>
      <c r="B254" s="265" t="s">
        <v>745</v>
      </c>
      <c r="C254" s="266">
        <v>3120</v>
      </c>
      <c r="D254" s="266"/>
    </row>
    <row r="255" spans="1:4" s="253" customFormat="1" ht="72">
      <c r="A255" s="256">
        <v>177</v>
      </c>
      <c r="B255" s="265" t="s">
        <v>746</v>
      </c>
      <c r="C255" s="266">
        <v>10000</v>
      </c>
      <c r="D255" s="266"/>
    </row>
    <row r="256" spans="1:4" s="253" customFormat="1">
      <c r="A256" s="256"/>
      <c r="B256" s="267" t="s">
        <v>544</v>
      </c>
      <c r="C256" s="266">
        <v>0</v>
      </c>
      <c r="D256" s="266"/>
    </row>
    <row r="257" spans="1:5" s="253" customFormat="1">
      <c r="A257" s="256">
        <v>178</v>
      </c>
      <c r="B257" s="265" t="s">
        <v>747</v>
      </c>
      <c r="C257" s="266">
        <v>15500</v>
      </c>
      <c r="D257" s="266"/>
    </row>
    <row r="258" spans="1:5" s="253" customFormat="1" ht="36">
      <c r="A258" s="256">
        <v>179</v>
      </c>
      <c r="B258" s="265" t="s">
        <v>748</v>
      </c>
      <c r="C258" s="266">
        <v>30000</v>
      </c>
      <c r="D258" s="266"/>
    </row>
    <row r="259" spans="1:5" s="253" customFormat="1">
      <c r="A259" s="256"/>
      <c r="B259" s="262" t="s">
        <v>749</v>
      </c>
      <c r="C259" s="266">
        <v>0</v>
      </c>
      <c r="D259" s="264"/>
    </row>
    <row r="260" spans="1:5" s="253" customFormat="1">
      <c r="A260" s="256"/>
      <c r="B260" s="263" t="s">
        <v>541</v>
      </c>
      <c r="C260" s="266">
        <v>0</v>
      </c>
      <c r="D260" s="266"/>
    </row>
    <row r="261" spans="1:5" s="253" customFormat="1">
      <c r="A261" s="256">
        <v>180</v>
      </c>
      <c r="B261" s="265" t="s">
        <v>750</v>
      </c>
      <c r="C261" s="266">
        <v>10000</v>
      </c>
      <c r="D261" s="266"/>
    </row>
    <row r="262" spans="1:5" s="253" customFormat="1">
      <c r="A262" s="256"/>
      <c r="B262" s="267" t="s">
        <v>544</v>
      </c>
      <c r="C262" s="266">
        <v>0</v>
      </c>
      <c r="D262" s="266"/>
    </row>
    <row r="263" spans="1:5" s="253" customFormat="1" ht="36">
      <c r="A263" s="256">
        <v>181</v>
      </c>
      <c r="B263" s="265" t="s">
        <v>751</v>
      </c>
      <c r="C263" s="266">
        <v>0</v>
      </c>
      <c r="D263" s="266">
        <v>7035000</v>
      </c>
    </row>
    <row r="264" spans="1:5" s="253" customFormat="1" ht="36">
      <c r="A264" s="256">
        <v>182</v>
      </c>
      <c r="B264" s="265" t="s">
        <v>752</v>
      </c>
      <c r="C264" s="266">
        <v>7200</v>
      </c>
      <c r="D264" s="266"/>
    </row>
    <row r="265" spans="1:5" s="253" customFormat="1" ht="36">
      <c r="A265" s="256">
        <v>183</v>
      </c>
      <c r="B265" s="265" t="s">
        <v>753</v>
      </c>
      <c r="C265" s="266">
        <v>1800</v>
      </c>
      <c r="D265" s="266"/>
    </row>
    <row r="266" spans="1:5" s="253" customFormat="1" ht="21.75" customHeight="1">
      <c r="A266" s="256">
        <v>184</v>
      </c>
      <c r="B266" s="265" t="s">
        <v>754</v>
      </c>
      <c r="C266" s="266">
        <v>4800</v>
      </c>
      <c r="D266" s="266"/>
    </row>
    <row r="267" spans="1:5" s="276" customFormat="1">
      <c r="A267" s="284"/>
      <c r="B267" s="285" t="s">
        <v>755</v>
      </c>
      <c r="C267" s="258">
        <f>C245+C208+C72+C44+C40+C16+C6</f>
        <v>18138406.199999999</v>
      </c>
      <c r="D267" s="258">
        <f>D245+D208+D16+D6+D40+D72</f>
        <v>27882714.780000001</v>
      </c>
      <c r="E267" s="253"/>
    </row>
    <row r="268" spans="1:5" s="288" customFormat="1">
      <c r="A268" s="286"/>
      <c r="B268" s="287"/>
      <c r="D268" s="289"/>
      <c r="E268" s="253"/>
    </row>
    <row r="269" spans="1:5" s="288" customFormat="1">
      <c r="A269" s="286"/>
      <c r="B269" s="287"/>
      <c r="D269" s="289"/>
    </row>
    <row r="270" spans="1:5" s="288" customFormat="1">
      <c r="A270" s="286"/>
      <c r="B270" s="287"/>
      <c r="D270" s="289"/>
    </row>
    <row r="271" spans="1:5" s="288" customFormat="1">
      <c r="A271" s="286"/>
      <c r="B271" s="287"/>
      <c r="D271" s="289"/>
    </row>
    <row r="272" spans="1:5" s="288" customFormat="1">
      <c r="A272" s="286"/>
      <c r="B272" s="287"/>
      <c r="D272" s="289"/>
    </row>
    <row r="273" spans="1:4" s="288" customFormat="1">
      <c r="A273" s="286"/>
      <c r="B273" s="287"/>
      <c r="D273" s="289"/>
    </row>
    <row r="274" spans="1:4" s="288" customFormat="1">
      <c r="A274" s="286"/>
      <c r="B274" s="287"/>
      <c r="D274" s="289"/>
    </row>
    <row r="275" spans="1:4" s="292" customFormat="1">
      <c r="A275" s="290"/>
      <c r="B275" s="291"/>
      <c r="D275" s="252"/>
    </row>
    <row r="276" spans="1:4" s="292" customFormat="1">
      <c r="A276" s="290"/>
      <c r="B276" s="291"/>
      <c r="D276" s="252"/>
    </row>
    <row r="277" spans="1:4" s="292" customFormat="1">
      <c r="A277" s="290"/>
      <c r="B277" s="291"/>
      <c r="D277" s="252"/>
    </row>
    <row r="278" spans="1:4" s="292" customFormat="1">
      <c r="A278" s="290"/>
      <c r="B278" s="291"/>
      <c r="D278" s="252"/>
    </row>
    <row r="279" spans="1:4" s="292" customFormat="1">
      <c r="A279" s="290"/>
      <c r="B279" s="291"/>
      <c r="D279" s="252"/>
    </row>
    <row r="280" spans="1:4" s="292" customFormat="1">
      <c r="A280" s="290"/>
      <c r="B280" s="291"/>
      <c r="D280" s="252"/>
    </row>
    <row r="281" spans="1:4" s="292" customFormat="1">
      <c r="A281" s="290"/>
      <c r="B281" s="291"/>
      <c r="D281" s="252"/>
    </row>
    <row r="282" spans="1:4" s="292" customFormat="1">
      <c r="A282" s="290"/>
      <c r="B282" s="291"/>
      <c r="D282" s="252"/>
    </row>
    <row r="283" spans="1:4" s="292" customFormat="1">
      <c r="A283" s="290"/>
      <c r="B283" s="291"/>
      <c r="D283" s="252"/>
    </row>
    <row r="284" spans="1:4" s="292" customFormat="1">
      <c r="A284" s="290"/>
      <c r="B284" s="291"/>
      <c r="D284" s="252"/>
    </row>
    <row r="285" spans="1:4" s="292" customFormat="1">
      <c r="A285" s="290"/>
      <c r="B285" s="291"/>
      <c r="D285" s="252"/>
    </row>
    <row r="286" spans="1:4" s="292" customFormat="1">
      <c r="A286" s="290"/>
      <c r="B286" s="291"/>
      <c r="D286" s="252"/>
    </row>
    <row r="287" spans="1:4" s="292" customFormat="1">
      <c r="A287" s="290"/>
      <c r="B287" s="291"/>
      <c r="D287" s="252"/>
    </row>
    <row r="288" spans="1:4" s="292" customFormat="1">
      <c r="A288" s="290"/>
      <c r="B288" s="291"/>
      <c r="D288" s="252"/>
    </row>
    <row r="289" spans="1:4" s="292" customFormat="1">
      <c r="A289" s="290"/>
      <c r="B289" s="291"/>
      <c r="D289" s="252"/>
    </row>
    <row r="290" spans="1:4" s="292" customFormat="1">
      <c r="A290" s="290"/>
      <c r="B290" s="291"/>
      <c r="D290" s="252"/>
    </row>
    <row r="291" spans="1:4" s="292" customFormat="1">
      <c r="A291" s="290"/>
      <c r="B291" s="291"/>
      <c r="D291" s="252"/>
    </row>
    <row r="292" spans="1:4" s="292" customFormat="1">
      <c r="A292" s="290"/>
      <c r="B292" s="291"/>
      <c r="D292" s="252"/>
    </row>
    <row r="293" spans="1:4" s="292" customFormat="1">
      <c r="A293" s="290"/>
      <c r="B293" s="291"/>
      <c r="D293" s="252"/>
    </row>
    <row r="294" spans="1:4" s="292" customFormat="1">
      <c r="A294" s="290"/>
      <c r="B294" s="291"/>
      <c r="D294" s="252"/>
    </row>
    <row r="295" spans="1:4" s="292" customFormat="1">
      <c r="A295" s="290"/>
      <c r="B295" s="291"/>
      <c r="D295" s="252"/>
    </row>
    <row r="296" spans="1:4" s="292" customFormat="1">
      <c r="A296" s="290"/>
      <c r="B296" s="291"/>
      <c r="D296" s="252"/>
    </row>
    <row r="297" spans="1:4" s="292" customFormat="1">
      <c r="A297" s="290"/>
      <c r="B297" s="291"/>
      <c r="D297" s="252"/>
    </row>
    <row r="298" spans="1:4" s="292" customFormat="1">
      <c r="A298" s="290"/>
      <c r="B298" s="291"/>
      <c r="D298" s="252"/>
    </row>
    <row r="299" spans="1:4" s="292" customFormat="1">
      <c r="A299" s="290"/>
      <c r="B299" s="291"/>
      <c r="D299" s="252"/>
    </row>
    <row r="300" spans="1:4" s="292" customFormat="1">
      <c r="A300" s="290"/>
      <c r="B300" s="291"/>
      <c r="D300" s="252"/>
    </row>
    <row r="301" spans="1:4" s="292" customFormat="1">
      <c r="A301" s="290"/>
      <c r="B301" s="291"/>
      <c r="D301" s="252"/>
    </row>
    <row r="302" spans="1:4" s="292" customFormat="1">
      <c r="A302" s="290"/>
      <c r="B302" s="291"/>
      <c r="D302" s="252"/>
    </row>
    <row r="303" spans="1:4" s="292" customFormat="1">
      <c r="A303" s="290"/>
      <c r="B303" s="291"/>
      <c r="D303" s="252"/>
    </row>
    <row r="304" spans="1:4" s="292" customFormat="1">
      <c r="A304" s="290"/>
      <c r="B304" s="291"/>
      <c r="D304" s="252"/>
    </row>
    <row r="305" spans="1:4" s="292" customFormat="1">
      <c r="A305" s="290"/>
      <c r="B305" s="291"/>
      <c r="D305" s="252"/>
    </row>
    <row r="306" spans="1:4" s="292" customFormat="1">
      <c r="A306" s="290"/>
      <c r="B306" s="291"/>
      <c r="D306" s="252"/>
    </row>
    <row r="307" spans="1:4" s="292" customFormat="1">
      <c r="A307" s="290"/>
      <c r="B307" s="291"/>
      <c r="D307" s="252"/>
    </row>
    <row r="308" spans="1:4" s="292" customFormat="1">
      <c r="A308" s="290"/>
      <c r="B308" s="291"/>
      <c r="D308" s="252"/>
    </row>
    <row r="309" spans="1:4" s="292" customFormat="1">
      <c r="A309" s="290"/>
      <c r="B309" s="291"/>
      <c r="D309" s="252"/>
    </row>
    <row r="310" spans="1:4" s="292" customFormat="1">
      <c r="A310" s="290"/>
      <c r="B310" s="291"/>
      <c r="D310" s="252"/>
    </row>
    <row r="311" spans="1:4" s="292" customFormat="1">
      <c r="A311" s="290"/>
      <c r="B311" s="291"/>
      <c r="D311" s="252"/>
    </row>
    <row r="312" spans="1:4" s="292" customFormat="1">
      <c r="A312" s="290"/>
      <c r="B312" s="291"/>
      <c r="D312" s="252"/>
    </row>
    <row r="313" spans="1:4" s="292" customFormat="1">
      <c r="A313" s="290"/>
      <c r="B313" s="291"/>
      <c r="D313" s="252"/>
    </row>
  </sheetData>
  <mergeCells count="5">
    <mergeCell ref="A2:D2"/>
    <mergeCell ref="A3:A5"/>
    <mergeCell ref="B3:B4"/>
    <mergeCell ref="C3:C5"/>
    <mergeCell ref="D3:D5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Приложение1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 Гогова</dc:creator>
  <cp:lastModifiedBy>Христина Митова</cp:lastModifiedBy>
  <cp:lastPrinted>2024-01-18T12:16:15Z</cp:lastPrinted>
  <dcterms:created xsi:type="dcterms:W3CDTF">2024-01-18T06:19:09Z</dcterms:created>
  <dcterms:modified xsi:type="dcterms:W3CDTF">2024-01-18T13:48:02Z</dcterms:modified>
</cp:coreProperties>
</file>